
<file path=[Content_Types].xml><?xml version="1.0" encoding="utf-8"?>
<Types xmlns="http://schemas.openxmlformats.org/package/2006/content-types"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tabRatio="758" activeTab="1"/>
  </bookViews>
  <sheets>
    <sheet name="DATA" sheetId="1" r:id="rId1"/>
    <sheet name="STATISTICS" sheetId="20" r:id="rId2"/>
    <sheet name="CORRELATION" sheetId="21" r:id="rId3"/>
  </sheets>
  <definedNames>
    <definedName name="Column">DATA!$B$2:$M$2</definedName>
    <definedName name="DATA">DATA!$A$2:$M$53</definedName>
    <definedName name="States">DATA!$A$2:$A$53</definedName>
  </definedNames>
  <calcPr calcId="125725"/>
</workbook>
</file>

<file path=xl/calcChain.xml><?xml version="1.0" encoding="utf-8"?>
<calcChain xmlns="http://schemas.openxmlformats.org/spreadsheetml/2006/main">
  <c r="Q4" i="20"/>
  <c r="Q3"/>
  <c r="M2" i="21"/>
  <c r="M13"/>
  <c r="M12"/>
  <c r="L11"/>
  <c r="M7"/>
  <c r="M8"/>
  <c r="M10"/>
  <c r="M9"/>
  <c r="M5"/>
  <c r="M4"/>
  <c r="L13"/>
  <c r="L9"/>
  <c r="L4"/>
  <c r="K12"/>
  <c r="K11"/>
  <c r="K10"/>
  <c r="K9"/>
  <c r="K7"/>
  <c r="K6"/>
  <c r="K5"/>
  <c r="K4"/>
  <c r="K3"/>
  <c r="K2"/>
  <c r="J11"/>
  <c r="J10"/>
  <c r="J9"/>
  <c r="J7"/>
  <c r="J6"/>
  <c r="J5"/>
  <c r="J4"/>
  <c r="J3"/>
  <c r="J2"/>
  <c r="I13"/>
  <c r="I10"/>
  <c r="I9"/>
  <c r="I6"/>
  <c r="I5"/>
  <c r="I2"/>
  <c r="H10"/>
  <c r="H6"/>
  <c r="H2"/>
  <c r="G11"/>
  <c r="G10"/>
  <c r="G9"/>
  <c r="G7"/>
  <c r="G6"/>
  <c r="G5"/>
  <c r="G4"/>
  <c r="G3"/>
  <c r="G2"/>
  <c r="F13"/>
  <c r="F11"/>
  <c r="F10"/>
  <c r="F9"/>
  <c r="F7"/>
  <c r="F6"/>
  <c r="F5"/>
  <c r="F4"/>
  <c r="F3"/>
  <c r="F2"/>
  <c r="E13"/>
  <c r="E11"/>
  <c r="E10"/>
  <c r="E9"/>
  <c r="E7"/>
  <c r="E6"/>
  <c r="E5"/>
  <c r="E4"/>
  <c r="E3"/>
  <c r="E2"/>
  <c r="D12"/>
  <c r="D11"/>
  <c r="D10"/>
  <c r="D9"/>
  <c r="D7"/>
  <c r="D6"/>
  <c r="D5"/>
  <c r="D4"/>
  <c r="D3"/>
  <c r="D2"/>
  <c r="C11"/>
  <c r="C10"/>
  <c r="C9"/>
  <c r="C7"/>
  <c r="C6"/>
  <c r="C5"/>
  <c r="C4"/>
  <c r="C3"/>
  <c r="C2"/>
  <c r="B13"/>
  <c r="B11"/>
  <c r="B10"/>
  <c r="B9"/>
  <c r="B7"/>
  <c r="B6"/>
  <c r="B5"/>
  <c r="B4"/>
  <c r="B3"/>
  <c r="B2"/>
  <c r="E3" i="20"/>
  <c r="E4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3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"/>
  <c r="E6"/>
  <c r="E12" i="21" l="1"/>
  <c r="L3"/>
  <c r="L12"/>
  <c r="C12"/>
  <c r="D13"/>
  <c r="G12"/>
  <c r="J12"/>
  <c r="K13"/>
  <c r="L5"/>
  <c r="L10"/>
  <c r="M6"/>
  <c r="M11"/>
  <c r="L7"/>
  <c r="I12"/>
  <c r="B12"/>
  <c r="C13"/>
  <c r="F12"/>
  <c r="G13"/>
  <c r="J13"/>
  <c r="L2"/>
  <c r="L6"/>
  <c r="M3"/>
  <c r="H5"/>
  <c r="H13"/>
  <c r="H3"/>
  <c r="H7"/>
  <c r="H11"/>
  <c r="I3"/>
  <c r="I7"/>
  <c r="I11"/>
  <c r="H9"/>
  <c r="B8"/>
  <c r="C8"/>
  <c r="D8"/>
  <c r="E8"/>
  <c r="F8"/>
  <c r="G8"/>
  <c r="H4"/>
  <c r="H8"/>
  <c r="H12"/>
  <c r="I4"/>
  <c r="I8"/>
  <c r="J8"/>
  <c r="K8"/>
  <c r="L8"/>
  <c r="J4" i="20"/>
  <c r="J3"/>
</calcChain>
</file>

<file path=xl/comments1.xml><?xml version="1.0" encoding="utf-8"?>
<comments xmlns="http://schemas.openxmlformats.org/spreadsheetml/2006/main">
  <authors>
    <author>Sanjay</author>
  </authors>
  <commentList>
    <comment ref="A10" authorId="0">
      <text>
        <r>
          <rPr>
            <b/>
            <sz val="9"/>
            <color indexed="81"/>
            <rFont val="Tahoma"/>
            <family val="2"/>
          </rPr>
          <t>Choose any two of the following three parameters and then select them from the drop-down box in cells E1 and F1.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Choose any two of the following four years and then select them from the drop-down box in cells E2 and F2.</t>
        </r>
      </text>
    </comment>
  </commentList>
</comments>
</file>

<file path=xl/sharedStrings.xml><?xml version="1.0" encoding="utf-8"?>
<sst xmlns="http://schemas.openxmlformats.org/spreadsheetml/2006/main" count="173" uniqueCount="73">
  <si>
    <t>STATES/PARAMETER</t>
  </si>
  <si>
    <t>POVERTY 2008</t>
  </si>
  <si>
    <t>POVERTY 2009</t>
  </si>
  <si>
    <t>POVERTY 2010</t>
  </si>
  <si>
    <t>POVERTY 2011</t>
  </si>
  <si>
    <t>DIVORCE 2008</t>
  </si>
  <si>
    <t>DIVORCE 2009</t>
  </si>
  <si>
    <t>DIVORCE 2010</t>
  </si>
  <si>
    <t>DIVORCE 2011</t>
  </si>
  <si>
    <t>HAPPINESS 2008</t>
  </si>
  <si>
    <t>HAPPINESS 2009</t>
  </si>
  <si>
    <t>HAPPINESS 2010</t>
  </si>
  <si>
    <t>HAPPINESS 2011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</si>
  <si>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</si>
  <si>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</si>
  <si>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</si>
  <si>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</si>
  <si>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</si>
  <si>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</si>
  <si>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</si>
  <si>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</si>
  <si>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</si>
  <si>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--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</si>
  <si>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</si>
  <si>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</si>
  <si>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</si>
  <si>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</si>
  <si>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</si>
  <si>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</si>
  <si>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</si>
  <si>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</si>
  <si>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</si>
  <si>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</si>
  <si>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</si>
  <si>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</si>
  <si>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</si>
  <si>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</si>
  <si>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</si>
  <si>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</si>
  <si>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</si>
  <si>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</si>
  <si>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</si>
  <si>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</si>
  <si>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</si>
  <si>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</si>
  <si>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</si>
  <si>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</si>
  <si>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</si>
  <si>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</si>
  <si>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</si>
  <si>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</si>
  <si>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</si>
  <si>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</si>
  <si>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</si>
  <si>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</si>
  <si>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</si>
  <si>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</si>
  <si>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</si>
  <si>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</si>
  <si>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</si>
  <si>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</si>
  <si>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</si>
  <si>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</si>
  <si>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</si>
  <si>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</si>
  <si>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CORRELATION:</t>
  </si>
  <si>
    <t>COVARIANCE:</t>
  </si>
  <si>
    <t>STATES</t>
  </si>
  <si>
    <t>POVERTY</t>
  </si>
  <si>
    <t>Column1</t>
  </si>
  <si>
    <t>HAPPINESS</t>
  </si>
  <si>
    <t>DIVORCE</t>
  </si>
  <si>
    <t>PARAMETERS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</si>
</sst>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2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quotePrefix="1" applyFill="1" applyAlignment="1">
      <alignment horizontal="center" vertical="center"/>
    </xf>
    <xf numFmtId="0" fontId="0" fillId="0" borderId="0" xfId="0" applyFill="1"/>
    <xf numFmtId="0" fontId="0" fillId="5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0" borderId="0" xfId="0" applyFill="1" applyBorder="1"/>
    <xf numFmtId="0" fontId="2" fillId="0" borderId="4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1" fillId="0" borderId="5" xfId="0" applyFont="1" applyFill="1" applyBorder="1"/>
    <xf numFmtId="0" fontId="0" fillId="0" borderId="0" xfId="0" applyAlignment="1"/>
    <xf numFmtId="0" fontId="2" fillId="2" borderId="0" xfId="0" applyFont="1" applyFill="1"/>
    <xf numFmtId="0" fontId="0" fillId="0" borderId="6" xfId="0" applyBorder="1"/>
    <xf numFmtId="0" fontId="0" fillId="0" borderId="7" xfId="0" applyBorder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0" borderId="0" xfId="0" applyFont="1" applyFill="1"/>
    <xf numFmtId="0" fontId="6" fillId="0" borderId="0" xfId="0" applyFont="1"/>
  </cellXfs>
  <cellStyles count="1">
    <cellStyle name="Normal" xfId="0" builtinId="0"/>
  </cellStyles>
  <dxfs count="35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/>
      <c:lineChart>
        <c:grouping val="standard"/>
        <c:ser>
          <c:idx val="1"/>
          <c:order val="1"/>
          <c:tx>
            <c:strRef>
              <c:f>STATISTICS!$Q$4</c:f>
              <c:strCache>
                <c:ptCount val="1"/>
                <c:pt idx="0">
                  <c:v>DIVORCE 2009</c:v>
                </c:pt>
              </c:strCache>
            </c:strRef>
          </c:tx>
          <c:marker>
            <c:symbol val="none"/>
          </c:marker>
          <c:cat>
            <c:strRef>
              <c:f>STATISTICS!$D$27:$D$53</c:f>
              <c:strCache>
                <c:ptCount val="27"/>
                <c:pt idx="0">
                  <c:v>Mississippi</c:v>
                </c:pt>
                <c:pt idx="1">
                  <c:v>Missouri</c:v>
                </c:pt>
                <c:pt idx="2">
                  <c:v>Montana</c:v>
                </c:pt>
                <c:pt idx="3">
                  <c:v>Nebraska</c:v>
                </c:pt>
                <c:pt idx="4">
                  <c:v>Nevada</c:v>
                </c:pt>
                <c:pt idx="5">
                  <c:v>New Hampshire</c:v>
                </c:pt>
                <c:pt idx="6">
                  <c:v>New Jersey</c:v>
                </c:pt>
                <c:pt idx="7">
                  <c:v>New Mexico</c:v>
                </c:pt>
                <c:pt idx="8">
                  <c:v>New York</c:v>
                </c:pt>
                <c:pt idx="9">
                  <c:v>North Carolina</c:v>
                </c:pt>
                <c:pt idx="10">
                  <c:v>North Dakota</c:v>
                </c:pt>
                <c:pt idx="11">
                  <c:v>Ohio</c:v>
                </c:pt>
                <c:pt idx="12">
                  <c:v>Oklahoma</c:v>
                </c:pt>
                <c:pt idx="13">
                  <c:v>Oregon</c:v>
                </c:pt>
                <c:pt idx="14">
                  <c:v>Pennsylvania</c:v>
                </c:pt>
                <c:pt idx="15">
                  <c:v>Rhode Island</c:v>
                </c:pt>
                <c:pt idx="16">
                  <c:v>South Carolina</c:v>
                </c:pt>
                <c:pt idx="17">
                  <c:v>South Dakota</c:v>
                </c:pt>
                <c:pt idx="18">
                  <c:v>Tennessee</c:v>
                </c:pt>
                <c:pt idx="19">
                  <c:v>Texas</c:v>
                </c:pt>
                <c:pt idx="20">
                  <c:v>Utah</c:v>
                </c:pt>
                <c:pt idx="21">
                  <c:v>Vermont</c:v>
                </c:pt>
                <c:pt idx="22">
                  <c:v>Virginia</c:v>
                </c:pt>
                <c:pt idx="23">
                  <c:v>Washington</c:v>
                </c:pt>
                <c:pt idx="24">
                  <c:v>West Virginia</c:v>
                </c:pt>
                <c:pt idx="25">
                  <c:v>Wisconsin</c:v>
                </c:pt>
                <c:pt idx="26">
                  <c:v>Wyoming</c:v>
                </c:pt>
              </c:strCache>
            </c:strRef>
          </c:cat>
          <c:val>
            <c:numRef>
              <c:f>STATISTICS!$F$27:$F$53</c:f>
              <c:numCache>
                <c:formatCode>General</c:formatCode>
                <c:ptCount val="27"/>
                <c:pt idx="0">
                  <c:v>0.41</c:v>
                </c:pt>
                <c:pt idx="1">
                  <c:v>0.38</c:v>
                </c:pt>
                <c:pt idx="2">
                  <c:v>0.4</c:v>
                </c:pt>
                <c:pt idx="3">
                  <c:v>0.33999999999999997</c:v>
                </c:pt>
                <c:pt idx="4">
                  <c:v>0.65999999999999992</c:v>
                </c:pt>
                <c:pt idx="5">
                  <c:v>0.37</c:v>
                </c:pt>
                <c:pt idx="6">
                  <c:v>0.27</c:v>
                </c:pt>
                <c:pt idx="7">
                  <c:v>0.39</c:v>
                </c:pt>
                <c:pt idx="8">
                  <c:v>0.26</c:v>
                </c:pt>
                <c:pt idx="9">
                  <c:v>0.38</c:v>
                </c:pt>
                <c:pt idx="10">
                  <c:v>0.27999999999999997</c:v>
                </c:pt>
                <c:pt idx="11">
                  <c:v>0.32999999999999996</c:v>
                </c:pt>
                <c:pt idx="12">
                  <c:v>0.48</c:v>
                </c:pt>
                <c:pt idx="13">
                  <c:v>0.39</c:v>
                </c:pt>
                <c:pt idx="14">
                  <c:v>0.27</c:v>
                </c:pt>
                <c:pt idx="15">
                  <c:v>0.3</c:v>
                </c:pt>
                <c:pt idx="16">
                  <c:v>0.3</c:v>
                </c:pt>
                <c:pt idx="17">
                  <c:v>0.32999999999999996</c:v>
                </c:pt>
                <c:pt idx="18">
                  <c:v>0.39</c:v>
                </c:pt>
                <c:pt idx="19">
                  <c:v>0.32999999999999996</c:v>
                </c:pt>
                <c:pt idx="20">
                  <c:v>0.37</c:v>
                </c:pt>
                <c:pt idx="21">
                  <c:v>0.35</c:v>
                </c:pt>
                <c:pt idx="22">
                  <c:v>0.37</c:v>
                </c:pt>
                <c:pt idx="23">
                  <c:v>0.39</c:v>
                </c:pt>
                <c:pt idx="24">
                  <c:v>0.51</c:v>
                </c:pt>
                <c:pt idx="25">
                  <c:v>0.28999999999999998</c:v>
                </c:pt>
                <c:pt idx="26">
                  <c:v>0.51</c:v>
                </c:pt>
              </c:numCache>
            </c:numRef>
          </c:val>
        </c:ser>
        <c:marker val="1"/>
        <c:axId val="137337472"/>
        <c:axId val="137355648"/>
      </c:lineChart>
      <c:lineChart>
        <c:grouping val="standard"/>
        <c:ser>
          <c:idx val="0"/>
          <c:order val="0"/>
          <c:tx>
            <c:strRef>
              <c:f>STATISTICS!$Q$3</c:f>
              <c:strCache>
                <c:ptCount val="1"/>
                <c:pt idx="0">
                  <c:v>POVERTY 2009</c:v>
                </c:pt>
              </c:strCache>
            </c:strRef>
          </c:tx>
          <c:marker>
            <c:symbol val="none"/>
          </c:marker>
          <c:trendline>
            <c:spPr>
              <a:ln w="12700">
                <a:solidFill>
                  <a:sysClr val="windowText" lastClr="000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24271070748744267"/>
                  <c:y val="-0.29017853862016557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 baseline="0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</c:trendlineLbl>
          </c:trendline>
          <c:cat>
            <c:strRef>
              <c:f>STATISTICS!$D$27:$D$53</c:f>
              <c:strCache>
                <c:ptCount val="27"/>
                <c:pt idx="0">
                  <c:v>Mississippi</c:v>
                </c:pt>
                <c:pt idx="1">
                  <c:v>Missouri</c:v>
                </c:pt>
                <c:pt idx="2">
                  <c:v>Montana</c:v>
                </c:pt>
                <c:pt idx="3">
                  <c:v>Nebraska</c:v>
                </c:pt>
                <c:pt idx="4">
                  <c:v>Nevada</c:v>
                </c:pt>
                <c:pt idx="5">
                  <c:v>New Hampshire</c:v>
                </c:pt>
                <c:pt idx="6">
                  <c:v>New Jersey</c:v>
                </c:pt>
                <c:pt idx="7">
                  <c:v>New Mexico</c:v>
                </c:pt>
                <c:pt idx="8">
                  <c:v>New York</c:v>
                </c:pt>
                <c:pt idx="9">
                  <c:v>North Carolina</c:v>
                </c:pt>
                <c:pt idx="10">
                  <c:v>North Dakota</c:v>
                </c:pt>
                <c:pt idx="11">
                  <c:v>Ohio</c:v>
                </c:pt>
                <c:pt idx="12">
                  <c:v>Oklahoma</c:v>
                </c:pt>
                <c:pt idx="13">
                  <c:v>Oregon</c:v>
                </c:pt>
                <c:pt idx="14">
                  <c:v>Pennsylvania</c:v>
                </c:pt>
                <c:pt idx="15">
                  <c:v>Rhode Island</c:v>
                </c:pt>
                <c:pt idx="16">
                  <c:v>South Carolina</c:v>
                </c:pt>
                <c:pt idx="17">
                  <c:v>South Dakota</c:v>
                </c:pt>
                <c:pt idx="18">
                  <c:v>Tennessee</c:v>
                </c:pt>
                <c:pt idx="19">
                  <c:v>Texas</c:v>
                </c:pt>
                <c:pt idx="20">
                  <c:v>Utah</c:v>
                </c:pt>
                <c:pt idx="21">
                  <c:v>Vermont</c:v>
                </c:pt>
                <c:pt idx="22">
                  <c:v>Virginia</c:v>
                </c:pt>
                <c:pt idx="23">
                  <c:v>Washington</c:v>
                </c:pt>
                <c:pt idx="24">
                  <c:v>West Virginia</c:v>
                </c:pt>
                <c:pt idx="25">
                  <c:v>Wisconsin</c:v>
                </c:pt>
                <c:pt idx="26">
                  <c:v>Wyoming</c:v>
                </c:pt>
              </c:strCache>
            </c:strRef>
          </c:cat>
          <c:val>
            <c:numRef>
              <c:f>STATISTICS!$E$27:$E$53</c:f>
              <c:numCache>
                <c:formatCode>General</c:formatCode>
                <c:ptCount val="27"/>
                <c:pt idx="0">
                  <c:v>23.1</c:v>
                </c:pt>
                <c:pt idx="1">
                  <c:v>15.5</c:v>
                </c:pt>
                <c:pt idx="2">
                  <c:v>13.5</c:v>
                </c:pt>
                <c:pt idx="3">
                  <c:v>9.9</c:v>
                </c:pt>
                <c:pt idx="4">
                  <c:v>13</c:v>
                </c:pt>
                <c:pt idx="5">
                  <c:v>7.8</c:v>
                </c:pt>
                <c:pt idx="6">
                  <c:v>9.3000000000000007</c:v>
                </c:pt>
                <c:pt idx="7">
                  <c:v>19.3</c:v>
                </c:pt>
                <c:pt idx="8">
                  <c:v>15.8</c:v>
                </c:pt>
                <c:pt idx="9">
                  <c:v>16.899999999999999</c:v>
                </c:pt>
                <c:pt idx="10">
                  <c:v>10.9</c:v>
                </c:pt>
                <c:pt idx="11">
                  <c:v>13.3</c:v>
                </c:pt>
                <c:pt idx="12">
                  <c:v>12.9</c:v>
                </c:pt>
                <c:pt idx="13">
                  <c:v>13.4</c:v>
                </c:pt>
                <c:pt idx="14">
                  <c:v>11.1</c:v>
                </c:pt>
                <c:pt idx="15">
                  <c:v>13</c:v>
                </c:pt>
                <c:pt idx="16">
                  <c:v>13.7</c:v>
                </c:pt>
                <c:pt idx="17">
                  <c:v>14.1</c:v>
                </c:pt>
                <c:pt idx="18">
                  <c:v>16.5</c:v>
                </c:pt>
                <c:pt idx="19">
                  <c:v>17.3</c:v>
                </c:pt>
                <c:pt idx="20">
                  <c:v>9.6999999999999993</c:v>
                </c:pt>
                <c:pt idx="21">
                  <c:v>9.4</c:v>
                </c:pt>
                <c:pt idx="22">
                  <c:v>10.7</c:v>
                </c:pt>
                <c:pt idx="23">
                  <c:v>11.7</c:v>
                </c:pt>
                <c:pt idx="24">
                  <c:v>15.8</c:v>
                </c:pt>
                <c:pt idx="25">
                  <c:v>10.8</c:v>
                </c:pt>
                <c:pt idx="26">
                  <c:v>9.1999999999999993</c:v>
                </c:pt>
              </c:numCache>
            </c:numRef>
          </c:val>
        </c:ser>
        <c:marker val="1"/>
        <c:axId val="137232768"/>
        <c:axId val="137357568"/>
      </c:lineChart>
      <c:catAx>
        <c:axId val="137337472"/>
        <c:scaling>
          <c:orientation val="minMax"/>
        </c:scaling>
        <c:axPos val="b"/>
        <c:tickLblPos val="nextTo"/>
        <c:crossAx val="137355648"/>
        <c:crosses val="autoZero"/>
        <c:auto val="1"/>
        <c:lblAlgn val="ctr"/>
        <c:lblOffset val="100"/>
      </c:catAx>
      <c:valAx>
        <c:axId val="13735564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DIVORCE 2008</a:t>
                </a:r>
              </a:p>
            </c:rich>
          </c:tx>
          <c:layout/>
        </c:title>
        <c:numFmt formatCode="General" sourceLinked="1"/>
        <c:tickLblPos val="nextTo"/>
        <c:crossAx val="137337472"/>
        <c:crosses val="autoZero"/>
        <c:crossBetween val="between"/>
      </c:valAx>
      <c:valAx>
        <c:axId val="137357568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HAPPINESS 2008</a:t>
                </a:r>
              </a:p>
            </c:rich>
          </c:tx>
          <c:layout/>
        </c:title>
        <c:numFmt formatCode="General" sourceLinked="1"/>
        <c:tickLblPos val="nextTo"/>
        <c:crossAx val="137232768"/>
        <c:crosses val="max"/>
        <c:crossBetween val="between"/>
      </c:valAx>
      <c:catAx>
        <c:axId val="137232768"/>
        <c:scaling>
          <c:orientation val="minMax"/>
        </c:scaling>
        <c:delete val="1"/>
        <c:axPos val="b"/>
        <c:tickLblPos val="none"/>
        <c:crossAx val="137357568"/>
        <c:crosses val="autoZero"/>
        <c:auto val="1"/>
        <c:lblAlgn val="ctr"/>
        <c:lblOffset val="100"/>
      </c:catAx>
    </c:plotArea>
    <c:legend>
      <c:legendPos val="b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571500</xdr:colOff>
      <xdr:row>5</xdr:row>
      <xdr:rowOff>0</xdr:rowOff>
    </xdr:from>
    <xdr:to>
      <xdr:col>16</xdr:col>
      <xdr:colOff>390525</xdr:colOff>
      <xdr:row>29</xdr:row>
      <xdr:rowOff>190499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1" name="Table11" displayName="Table11" ref="A2:A53" totalsRowShown="0" headerRowDxfId="34" dataDxfId="33">
  <autoFilter ref="A2:A53"/>
  <tableColumns count="1">
    <tableColumn id="1" name="STATES/PARAMETER" dataDxfId="32"/>
  </tableColumns>
  <tableStyleInfo name="TableStyleMedium8" showFirstColumn="0" showLastColumn="0" showRowStripes="1" showColumnStripes="0"/>
</table>
</file>

<file path=xl/tables/table2.xml><?xml version="1.0" encoding="utf-8"?>
<table xmlns="http://schemas.openxmlformats.org/spreadsheetml/2006/main" id="12" name="Table12" displayName="Table12" ref="B2:E53" totalsRowShown="0" headerRowDxfId="31" dataDxfId="30">
  <autoFilter ref="B2:E53"/>
  <tableColumns count="4">
    <tableColumn id="1" name="POVERTY 2008" dataDxfId="29"/>
    <tableColumn id="2" name="POVERTY 2009" dataDxfId="28"/>
    <tableColumn id="3" name="POVERTY 2010" dataDxfId="27"/>
    <tableColumn id="4" name="POVERTY 2011" dataDxfId="26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13" name="Table13" displayName="Table13" ref="F2:I53" totalsRowShown="0" headerRowDxfId="25" dataDxfId="24">
  <autoFilter ref="F2:I53"/>
  <tableColumns count="4">
    <tableColumn id="1" name="DIVORCE 2008" dataDxfId="23"/>
    <tableColumn id="2" name="DIVORCE 2009" dataDxfId="22"/>
    <tableColumn id="3" name="DIVORCE 2010" dataDxfId="21"/>
    <tableColumn id="4" name="DIVORCE 2011" dataDxfId="20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14" name="Table14" displayName="Table14" ref="J2:M53" totalsRowShown="0" headerRowDxfId="19" dataDxfId="18">
  <autoFilter ref="J2:M53"/>
  <tableColumns count="4">
    <tableColumn id="1" name="HAPPINESS 2008" dataDxfId="17"/>
    <tableColumn id="2" name="HAPPINESS 2009" dataDxfId="16"/>
    <tableColumn id="3" name="HAPPINESS 2010" dataDxfId="15"/>
    <tableColumn id="4" name="HAPPINESS 2011" dataDxfId="14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1" name="Table2" displayName="Table2" ref="A1:M13" totalsRowShown="0" headerRowDxfId="13">
  <autoFilter ref="A1:M13"/>
  <tableColumns count="13">
    <tableColumn id="1" name="Column1" dataDxfId="12"/>
    <tableColumn id="2" name="POVERTY 2008" dataDxfId="11"/>
    <tableColumn id="3" name="POVERTY 2009" dataDxfId="10"/>
    <tableColumn id="4" name="POVERTY 2010" dataDxfId="9"/>
    <tableColumn id="5" name="POVERTY 2011" dataDxfId="8"/>
    <tableColumn id="6" name="DIVORCE 2008" dataDxfId="7"/>
    <tableColumn id="7" name="DIVORCE 2009" dataDxfId="6"/>
    <tableColumn id="8" name="DIVORCE 2010" dataDxfId="5"/>
    <tableColumn id="9" name="DIVORCE 2011" dataDxfId="4"/>
    <tableColumn id="10" name="HAPPINESS 2008" dataDxfId="3"/>
    <tableColumn id="11" name="HAPPINESS 2009" dataDxfId="2"/>
    <tableColumn id="12" name="HAPPINESS 2010" dataDxfId="1"/>
    <tableColumn id="13" name="HAPPINESS 2011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3"/>
  <sheetViews>
    <sheetView zoomScale="74" zoomScaleNormal="74" workbookViewId="0">
      <pane ySplit="2" topLeftCell="A3" activePane="bottomLeft" state="frozen"/>
      <selection pane="bottomLeft" activeCell="A3" sqref="A3"/>
    </sheetView>
  </sheetViews>
  <sheetFormatPr defaultRowHeight="15"/>
  <cols>
    <col min="1" max="1" width="21" style="3" customWidth="1"/>
    <col min="2" max="9" width="18.7109375" style="3" customWidth="1"/>
    <col min="10" max="13" width="20.42578125" style="3" customWidth="1"/>
    <col min="14" max="16384" width="9.140625" style="3"/>
  </cols>
  <sheetData>
    <row r="2" spans="1:1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1:13">
      <c r="A3" s="4" t="s">
        <v>13</v>
      </c>
      <c r="B3" s="4">
        <v>15.7</v>
      </c>
      <c r="C3" s="4">
        <v>16.600000000000001</v>
      </c>
      <c r="D3" s="4">
        <v>17.3</v>
      </c>
      <c r="E3" s="4">
        <v>19</v>
      </c>
      <c r="F3" s="4">
        <v>0.43</v>
      </c>
      <c r="G3" s="4">
        <v>0.44000000000000006</v>
      </c>
      <c r="H3" s="4">
        <v>0.44000000000000006</v>
      </c>
      <c r="I3" s="4">
        <v>0.43</v>
      </c>
      <c r="J3" s="4">
        <v>64.900000000000006</v>
      </c>
      <c r="K3" s="4">
        <v>63.9</v>
      </c>
      <c r="L3" s="4">
        <v>63.7</v>
      </c>
      <c r="M3" s="4">
        <v>65.099999999999994</v>
      </c>
    </row>
    <row r="4" spans="1:13">
      <c r="A4" s="4" t="s">
        <v>14</v>
      </c>
      <c r="B4" s="4">
        <v>8.4</v>
      </c>
      <c r="C4" s="4">
        <v>11.7</v>
      </c>
      <c r="D4" s="4">
        <v>12.4</v>
      </c>
      <c r="E4" s="4">
        <v>10.5</v>
      </c>
      <c r="F4" s="4">
        <v>0.44000000000000006</v>
      </c>
      <c r="G4" s="4">
        <v>0.44000000000000006</v>
      </c>
      <c r="H4" s="4">
        <v>0.47000000000000003</v>
      </c>
      <c r="I4" s="4">
        <v>0.48</v>
      </c>
      <c r="J4" s="4">
        <v>66.2</v>
      </c>
      <c r="K4" s="4">
        <v>67.3</v>
      </c>
      <c r="L4" s="4">
        <v>68.3</v>
      </c>
      <c r="M4" s="4">
        <v>69.400000000000006</v>
      </c>
    </row>
    <row r="5" spans="1:13">
      <c r="A5" s="4" t="s">
        <v>15</v>
      </c>
      <c r="B5" s="4">
        <v>14.7</v>
      </c>
      <c r="C5" s="4">
        <v>21.2</v>
      </c>
      <c r="D5" s="4">
        <v>18.600000000000001</v>
      </c>
      <c r="E5" s="4">
        <v>19</v>
      </c>
      <c r="F5" s="4">
        <v>0.38</v>
      </c>
      <c r="G5" s="4">
        <v>0.36</v>
      </c>
      <c r="H5" s="4">
        <v>0.35</v>
      </c>
      <c r="I5" s="4">
        <v>0.39</v>
      </c>
      <c r="J5" s="4">
        <v>66.8</v>
      </c>
      <c r="K5" s="4">
        <v>66.400000000000006</v>
      </c>
      <c r="L5" s="4">
        <v>66.2</v>
      </c>
      <c r="M5" s="4">
        <v>66.900000000000006</v>
      </c>
    </row>
    <row r="6" spans="1:13">
      <c r="A6" s="4" t="s">
        <v>16</v>
      </c>
      <c r="B6" s="4">
        <v>17.3</v>
      </c>
      <c r="C6" s="4">
        <v>18.899999999999999</v>
      </c>
      <c r="D6" s="4">
        <v>15.5</v>
      </c>
      <c r="E6" s="4">
        <v>19.5</v>
      </c>
      <c r="F6" s="4">
        <v>0.55000000000000004</v>
      </c>
      <c r="G6" s="4">
        <v>0.57000000000000006</v>
      </c>
      <c r="H6" s="4">
        <v>0.57000000000000006</v>
      </c>
      <c r="I6" s="4">
        <v>0.53</v>
      </c>
      <c r="J6" s="4">
        <v>62.9</v>
      </c>
      <c r="K6" s="4">
        <v>62.8</v>
      </c>
      <c r="L6" s="4">
        <v>63.7</v>
      </c>
      <c r="M6" s="4">
        <v>64.900000000000006</v>
      </c>
    </row>
    <row r="7" spans="1:13">
      <c r="A7" s="4" t="s">
        <v>17</v>
      </c>
      <c r="B7" s="4">
        <v>13.3</v>
      </c>
      <c r="C7" s="4">
        <v>15.3</v>
      </c>
      <c r="D7" s="4">
        <v>16.3</v>
      </c>
      <c r="E7" s="4">
        <v>16.600000000000001</v>
      </c>
      <c r="F7" s="4">
        <v>0</v>
      </c>
      <c r="G7" s="4">
        <v>0</v>
      </c>
      <c r="H7" s="4">
        <v>0</v>
      </c>
      <c r="I7" s="4">
        <v>0</v>
      </c>
      <c r="J7" s="4">
        <v>67</v>
      </c>
      <c r="K7" s="4">
        <v>66.5</v>
      </c>
      <c r="L7" s="4">
        <v>67</v>
      </c>
      <c r="M7" s="4">
        <v>67.5</v>
      </c>
    </row>
    <row r="8" spans="1:13">
      <c r="A8" s="4" t="s">
        <v>18</v>
      </c>
      <c r="B8" s="4">
        <v>11.4</v>
      </c>
      <c r="C8" s="4">
        <v>12.3</v>
      </c>
      <c r="D8" s="4">
        <v>12.2</v>
      </c>
      <c r="E8" s="4">
        <v>13.5</v>
      </c>
      <c r="F8" s="4">
        <v>0.43</v>
      </c>
      <c r="G8" s="4">
        <v>0.43</v>
      </c>
      <c r="H8" s="4">
        <v>0.43</v>
      </c>
      <c r="I8" s="4">
        <v>0.44000000000000006</v>
      </c>
      <c r="J8" s="4">
        <v>67.3</v>
      </c>
      <c r="K8" s="4">
        <v>67.3</v>
      </c>
      <c r="L8" s="4">
        <v>68</v>
      </c>
      <c r="M8" s="4">
        <v>68.3</v>
      </c>
    </row>
    <row r="9" spans="1:13">
      <c r="A9" s="4" t="s">
        <v>19</v>
      </c>
      <c r="B9" s="4">
        <v>9.3000000000000007</v>
      </c>
      <c r="C9" s="4">
        <v>8.4</v>
      </c>
      <c r="D9" s="4">
        <v>8.3000000000000007</v>
      </c>
      <c r="E9" s="4">
        <v>10.9</v>
      </c>
      <c r="F9" s="4">
        <v>0.33999999999999997</v>
      </c>
      <c r="G9" s="4">
        <v>0.3</v>
      </c>
      <c r="H9" s="4">
        <v>0.28999999999999998</v>
      </c>
      <c r="I9" s="4">
        <v>0.31</v>
      </c>
      <c r="J9" s="4">
        <v>66.3</v>
      </c>
      <c r="K9" s="4">
        <v>66.3</v>
      </c>
      <c r="L9" s="4">
        <v>67.900000000000006</v>
      </c>
      <c r="M9" s="4">
        <v>66.900000000000006</v>
      </c>
    </row>
    <row r="10" spans="1:13">
      <c r="A10" s="4" t="s">
        <v>20</v>
      </c>
      <c r="B10" s="4">
        <v>10</v>
      </c>
      <c r="C10" s="4">
        <v>12.3</v>
      </c>
      <c r="D10" s="4">
        <v>12.1</v>
      </c>
      <c r="E10" s="4">
        <v>11.9</v>
      </c>
      <c r="F10" s="4">
        <v>0.35</v>
      </c>
      <c r="G10" s="4">
        <v>0.36</v>
      </c>
      <c r="H10" s="4">
        <v>0.35</v>
      </c>
      <c r="I10" s="4">
        <v>0.36</v>
      </c>
      <c r="J10" s="4">
        <v>64.7</v>
      </c>
      <c r="K10" s="4">
        <v>64.7</v>
      </c>
      <c r="L10" s="4">
        <v>64.2</v>
      </c>
      <c r="M10" s="4">
        <v>66</v>
      </c>
    </row>
    <row r="11" spans="1:13">
      <c r="A11" s="4" t="s">
        <v>21</v>
      </c>
      <c r="B11" s="4">
        <v>17.2</v>
      </c>
      <c r="C11" s="4">
        <v>17.899999999999999</v>
      </c>
      <c r="D11" s="4">
        <v>19.899999999999999</v>
      </c>
      <c r="E11" s="4">
        <v>18.7</v>
      </c>
      <c r="F11" s="4">
        <v>0.27</v>
      </c>
      <c r="G11" s="4">
        <v>0.27</v>
      </c>
      <c r="H11" s="4">
        <v>0.27999999999999997</v>
      </c>
      <c r="I11" s="4">
        <v>0.28999999999999998</v>
      </c>
      <c r="J11" s="5" t="s">
        <v>22</v>
      </c>
      <c r="K11" s="5" t="s">
        <v>22</v>
      </c>
      <c r="L11" s="5" t="s">
        <v>22</v>
      </c>
      <c r="M11" s="5" t="s">
        <v>22</v>
      </c>
    </row>
    <row r="12" spans="1:13">
      <c r="A12" s="4" t="s">
        <v>23</v>
      </c>
      <c r="B12" s="4">
        <v>13.2</v>
      </c>
      <c r="C12" s="4">
        <v>14.6</v>
      </c>
      <c r="D12" s="4">
        <v>16</v>
      </c>
      <c r="E12" s="4">
        <v>17</v>
      </c>
      <c r="F12" s="4">
        <v>0.43</v>
      </c>
      <c r="G12" s="4">
        <v>0.42000000000000004</v>
      </c>
      <c r="H12" s="4">
        <v>0.44000000000000006</v>
      </c>
      <c r="I12" s="4">
        <v>0.45</v>
      </c>
      <c r="J12" s="4">
        <v>65.3</v>
      </c>
      <c r="K12" s="4">
        <v>64.8</v>
      </c>
      <c r="L12" s="4">
        <v>65.099999999999994</v>
      </c>
      <c r="M12" s="4">
        <v>65.400000000000006</v>
      </c>
    </row>
    <row r="13" spans="1:13">
      <c r="A13" s="4" t="s">
        <v>24</v>
      </c>
      <c r="B13" s="4">
        <v>14.7</v>
      </c>
      <c r="C13" s="4">
        <v>18.399999999999999</v>
      </c>
      <c r="D13" s="4">
        <v>18.7</v>
      </c>
      <c r="E13" s="4">
        <v>19.100000000000001</v>
      </c>
      <c r="F13" s="5" t="s">
        <v>22</v>
      </c>
      <c r="G13" s="5" t="s">
        <v>22</v>
      </c>
      <c r="H13" s="5" t="s">
        <v>22</v>
      </c>
      <c r="I13" s="5" t="s">
        <v>22</v>
      </c>
      <c r="J13" s="4">
        <v>66</v>
      </c>
      <c r="K13" s="4">
        <v>66.099999999999994</v>
      </c>
      <c r="L13" s="4">
        <v>66.099999999999994</v>
      </c>
      <c r="M13" s="4">
        <v>66.2</v>
      </c>
    </row>
    <row r="14" spans="1:13">
      <c r="A14" s="4" t="s">
        <v>25</v>
      </c>
      <c r="B14" s="4">
        <v>9.1</v>
      </c>
      <c r="C14" s="4">
        <v>12.5</v>
      </c>
      <c r="D14" s="4">
        <v>12.1</v>
      </c>
      <c r="E14" s="4">
        <v>12</v>
      </c>
      <c r="F14" s="5" t="s">
        <v>22</v>
      </c>
      <c r="G14" s="5" t="s">
        <v>22</v>
      </c>
      <c r="H14" s="5" t="s">
        <v>22</v>
      </c>
      <c r="I14" s="5" t="s">
        <v>22</v>
      </c>
      <c r="J14" s="4">
        <v>68.2</v>
      </c>
      <c r="K14" s="4">
        <v>70.2</v>
      </c>
      <c r="L14" s="4">
        <v>71</v>
      </c>
      <c r="M14" s="4">
        <v>71.099999999999994</v>
      </c>
    </row>
    <row r="15" spans="1:13">
      <c r="A15" s="4" t="s">
        <v>26</v>
      </c>
      <c r="B15" s="4">
        <v>12.6</v>
      </c>
      <c r="C15" s="4">
        <v>13.7</v>
      </c>
      <c r="D15" s="4">
        <v>14</v>
      </c>
      <c r="E15" s="4">
        <v>16.5</v>
      </c>
      <c r="F15" s="4">
        <v>0.48</v>
      </c>
      <c r="G15" s="4">
        <v>0.5</v>
      </c>
      <c r="H15" s="4">
        <v>0.52</v>
      </c>
      <c r="I15" s="4">
        <v>0.49000000000000005</v>
      </c>
      <c r="J15" s="4">
        <v>66.8</v>
      </c>
      <c r="K15" s="4">
        <v>67.099999999999994</v>
      </c>
      <c r="L15" s="4">
        <v>66.900000000000006</v>
      </c>
      <c r="M15" s="4">
        <v>66.7</v>
      </c>
    </row>
    <row r="16" spans="1:13">
      <c r="A16" s="4" t="s">
        <v>27</v>
      </c>
      <c r="B16" s="4">
        <v>12.2</v>
      </c>
      <c r="C16" s="4">
        <v>13.2</v>
      </c>
      <c r="D16" s="4">
        <v>14.1</v>
      </c>
      <c r="E16" s="4">
        <v>15</v>
      </c>
      <c r="F16" s="4">
        <v>0.25</v>
      </c>
      <c r="G16" s="4">
        <v>0.25</v>
      </c>
      <c r="H16" s="4">
        <v>0.26</v>
      </c>
      <c r="I16" s="4">
        <v>0.26</v>
      </c>
      <c r="J16" s="4">
        <v>65.2</v>
      </c>
      <c r="K16" s="4">
        <v>65.8</v>
      </c>
      <c r="L16" s="4">
        <v>66.3</v>
      </c>
      <c r="M16" s="4">
        <v>66.2</v>
      </c>
    </row>
    <row r="17" spans="1:13">
      <c r="A17" s="4" t="s">
        <v>28</v>
      </c>
      <c r="B17" s="4">
        <v>13.1</v>
      </c>
      <c r="C17" s="4">
        <v>16.100000000000001</v>
      </c>
      <c r="D17" s="4">
        <v>16.3</v>
      </c>
      <c r="E17" s="4">
        <v>16</v>
      </c>
      <c r="F17" s="5" t="s">
        <v>22</v>
      </c>
      <c r="G17" s="5" t="s">
        <v>22</v>
      </c>
      <c r="H17" s="5" t="s">
        <v>22</v>
      </c>
      <c r="I17" s="5" t="s">
        <v>22</v>
      </c>
      <c r="J17" s="4">
        <v>63.3</v>
      </c>
      <c r="K17" s="4">
        <v>63.9</v>
      </c>
      <c r="L17" s="4">
        <v>64.8</v>
      </c>
      <c r="M17" s="4">
        <v>64.900000000000006</v>
      </c>
    </row>
    <row r="18" spans="1:13">
      <c r="A18" s="4" t="s">
        <v>29</v>
      </c>
      <c r="B18" s="4">
        <v>11.5</v>
      </c>
      <c r="C18" s="4">
        <v>10.7</v>
      </c>
      <c r="D18" s="4">
        <v>10.3</v>
      </c>
      <c r="E18" s="4">
        <v>12.8</v>
      </c>
      <c r="F18" s="4">
        <v>0.26</v>
      </c>
      <c r="G18" s="4">
        <v>0.24</v>
      </c>
      <c r="H18" s="4">
        <v>0.24</v>
      </c>
      <c r="I18" s="4">
        <v>0.24</v>
      </c>
      <c r="J18" s="4">
        <v>65.599999999999994</v>
      </c>
      <c r="K18" s="4">
        <v>67.599999999999994</v>
      </c>
      <c r="L18" s="4">
        <v>66.900000000000006</v>
      </c>
      <c r="M18" s="4">
        <v>67.900000000000006</v>
      </c>
    </row>
    <row r="19" spans="1:13">
      <c r="A19" s="4" t="s">
        <v>30</v>
      </c>
      <c r="B19" s="4">
        <v>11.3</v>
      </c>
      <c r="C19" s="4">
        <v>13.7</v>
      </c>
      <c r="D19" s="4">
        <v>14.3</v>
      </c>
      <c r="E19" s="4">
        <v>13.8</v>
      </c>
      <c r="F19" s="4">
        <v>0.35</v>
      </c>
      <c r="G19" s="4">
        <v>0.36</v>
      </c>
      <c r="H19" s="4">
        <v>0.37</v>
      </c>
      <c r="I19" s="4">
        <v>0.39</v>
      </c>
      <c r="J19" s="4">
        <v>66.099999999999994</v>
      </c>
      <c r="K19" s="4">
        <v>67.2</v>
      </c>
      <c r="L19" s="4">
        <v>67.2</v>
      </c>
      <c r="M19" s="4">
        <v>67.8</v>
      </c>
    </row>
    <row r="20" spans="1:13">
      <c r="A20" s="4" t="s">
        <v>31</v>
      </c>
      <c r="B20" s="4">
        <v>17.3</v>
      </c>
      <c r="C20" s="4">
        <v>17</v>
      </c>
      <c r="D20" s="4">
        <v>17.7</v>
      </c>
      <c r="E20" s="4">
        <v>19.100000000000001</v>
      </c>
      <c r="F20" s="4">
        <v>0.45999999999999996</v>
      </c>
      <c r="G20" s="4">
        <v>0.45999999999999996</v>
      </c>
      <c r="H20" s="4">
        <v>0.45</v>
      </c>
      <c r="I20" s="4">
        <v>0.44000000000000006</v>
      </c>
      <c r="J20" s="4">
        <v>61.4</v>
      </c>
      <c r="K20" s="4">
        <v>62.3</v>
      </c>
      <c r="L20" s="4">
        <v>61.9</v>
      </c>
      <c r="M20" s="4">
        <v>63</v>
      </c>
    </row>
    <row r="21" spans="1:13">
      <c r="A21" s="4" t="s">
        <v>32</v>
      </c>
      <c r="B21" s="4">
        <v>17.3</v>
      </c>
      <c r="C21" s="4">
        <v>14.3</v>
      </c>
      <c r="D21" s="4">
        <v>21.6</v>
      </c>
      <c r="E21" s="4">
        <v>20.399999999999999</v>
      </c>
      <c r="F21" s="5" t="s">
        <v>22</v>
      </c>
      <c r="G21" s="5" t="s">
        <v>22</v>
      </c>
      <c r="H21" s="5" t="s">
        <v>22</v>
      </c>
      <c r="I21" s="5" t="s">
        <v>22</v>
      </c>
      <c r="J21" s="4">
        <v>64.2</v>
      </c>
      <c r="K21" s="4">
        <v>64.2</v>
      </c>
      <c r="L21" s="4">
        <v>64.3</v>
      </c>
      <c r="M21" s="4">
        <v>64.599999999999994</v>
      </c>
    </row>
    <row r="22" spans="1:13">
      <c r="A22" s="4" t="s">
        <v>33</v>
      </c>
      <c r="B22" s="4">
        <v>12.3</v>
      </c>
      <c r="C22" s="4">
        <v>11.4</v>
      </c>
      <c r="D22" s="4">
        <v>12.5</v>
      </c>
      <c r="E22" s="4">
        <v>14.1</v>
      </c>
      <c r="F22" s="4">
        <v>0.42000000000000004</v>
      </c>
      <c r="G22" s="4">
        <v>0.41</v>
      </c>
      <c r="H22" s="4">
        <v>0.42000000000000004</v>
      </c>
      <c r="I22" s="4">
        <v>0.42000000000000004</v>
      </c>
      <c r="J22" s="4">
        <v>65.5</v>
      </c>
      <c r="K22" s="4">
        <v>66.7</v>
      </c>
      <c r="L22" s="4">
        <v>66.400000000000006</v>
      </c>
      <c r="M22" s="4">
        <v>66.599999999999994</v>
      </c>
    </row>
    <row r="23" spans="1:13">
      <c r="A23" s="4" t="s">
        <v>34</v>
      </c>
      <c r="B23" s="4">
        <v>8.1</v>
      </c>
      <c r="C23" s="4">
        <v>9.6</v>
      </c>
      <c r="D23" s="4">
        <v>10.8</v>
      </c>
      <c r="E23" s="4">
        <v>10.1</v>
      </c>
      <c r="F23" s="4">
        <v>0.27999999999999997</v>
      </c>
      <c r="G23" s="4">
        <v>0.27999999999999997</v>
      </c>
      <c r="H23" s="4">
        <v>0.27999999999999997</v>
      </c>
      <c r="I23" s="4">
        <v>0.28999999999999998</v>
      </c>
      <c r="J23" s="4">
        <v>67.099999999999994</v>
      </c>
      <c r="K23" s="4">
        <v>66.8</v>
      </c>
      <c r="L23" s="4">
        <v>67.5</v>
      </c>
      <c r="M23" s="4">
        <v>67.8</v>
      </c>
    </row>
    <row r="24" spans="1:13">
      <c r="A24" s="4" t="s">
        <v>35</v>
      </c>
      <c r="B24" s="4">
        <v>10</v>
      </c>
      <c r="C24" s="4">
        <v>10.8</v>
      </c>
      <c r="D24" s="4">
        <v>10.6</v>
      </c>
      <c r="E24" s="4">
        <v>11.6</v>
      </c>
      <c r="F24" s="4">
        <v>0.22000000000000003</v>
      </c>
      <c r="G24" s="4">
        <v>0.22000000000000003</v>
      </c>
      <c r="H24" s="4">
        <v>0.25</v>
      </c>
      <c r="I24" s="4">
        <v>0.27</v>
      </c>
      <c r="J24" s="4">
        <v>67</v>
      </c>
      <c r="K24" s="4">
        <v>66.599999999999994</v>
      </c>
      <c r="L24" s="4">
        <v>67.8</v>
      </c>
      <c r="M24" s="4">
        <v>67.7</v>
      </c>
    </row>
    <row r="25" spans="1:13">
      <c r="A25" s="4" t="s">
        <v>36</v>
      </c>
      <c r="B25" s="4">
        <v>14.4</v>
      </c>
      <c r="C25" s="4">
        <v>14</v>
      </c>
      <c r="D25" s="4">
        <v>15.5</v>
      </c>
      <c r="E25" s="4">
        <v>17.5</v>
      </c>
      <c r="F25" s="4">
        <v>0.33999999999999997</v>
      </c>
      <c r="G25" s="4">
        <v>0.32999999999999996</v>
      </c>
      <c r="H25" s="4">
        <v>0.35</v>
      </c>
      <c r="I25" s="4">
        <v>0.33999999999999997</v>
      </c>
      <c r="J25" s="4">
        <v>64</v>
      </c>
      <c r="K25" s="4">
        <v>64.900000000000006</v>
      </c>
      <c r="L25" s="4">
        <v>64.599999999999994</v>
      </c>
      <c r="M25" s="4">
        <v>65.8</v>
      </c>
    </row>
    <row r="26" spans="1:13">
      <c r="A26" s="4" t="s">
        <v>37</v>
      </c>
      <c r="B26" s="4">
        <v>9.6</v>
      </c>
      <c r="C26" s="4">
        <v>11.1</v>
      </c>
      <c r="D26" s="4">
        <v>10.5</v>
      </c>
      <c r="E26" s="4">
        <v>11.9</v>
      </c>
      <c r="F26" s="5" t="s">
        <v>22</v>
      </c>
      <c r="G26" s="5" t="s">
        <v>22</v>
      </c>
      <c r="H26" s="5" t="s">
        <v>22</v>
      </c>
      <c r="I26" s="5" t="s">
        <v>22</v>
      </c>
      <c r="J26" s="4">
        <v>67.3</v>
      </c>
      <c r="K26" s="4">
        <v>67.8</v>
      </c>
      <c r="L26" s="4">
        <v>68</v>
      </c>
      <c r="M26" s="4">
        <v>68.3</v>
      </c>
    </row>
    <row r="27" spans="1:13">
      <c r="A27" s="4" t="s">
        <v>38</v>
      </c>
      <c r="B27" s="4">
        <v>21.2</v>
      </c>
      <c r="C27" s="4">
        <v>23.1</v>
      </c>
      <c r="D27" s="4">
        <v>22.7</v>
      </c>
      <c r="E27" s="4">
        <v>22.6</v>
      </c>
      <c r="F27" s="4">
        <v>0.43</v>
      </c>
      <c r="G27" s="4">
        <v>0.41</v>
      </c>
      <c r="H27" s="4">
        <v>0.43</v>
      </c>
      <c r="I27" s="4">
        <v>0.4</v>
      </c>
      <c r="J27" s="4">
        <v>61.9</v>
      </c>
      <c r="K27" s="4">
        <v>64</v>
      </c>
      <c r="L27" s="4">
        <v>63</v>
      </c>
      <c r="M27" s="4">
        <v>63.6</v>
      </c>
    </row>
    <row r="28" spans="1:13">
      <c r="A28" s="4" t="s">
        <v>39</v>
      </c>
      <c r="B28" s="4">
        <v>13.4</v>
      </c>
      <c r="C28" s="4">
        <v>15.5</v>
      </c>
      <c r="D28" s="4">
        <v>14.8</v>
      </c>
      <c r="E28" s="4">
        <v>15.8</v>
      </c>
      <c r="F28" s="4">
        <v>0.37</v>
      </c>
      <c r="G28" s="4">
        <v>0.38</v>
      </c>
      <c r="H28" s="4">
        <v>0.39</v>
      </c>
      <c r="I28" s="4">
        <v>0.39</v>
      </c>
      <c r="J28" s="4">
        <v>63.8</v>
      </c>
      <c r="K28" s="4">
        <v>64.8</v>
      </c>
      <c r="L28" s="4">
        <v>65.599999999999994</v>
      </c>
      <c r="M28" s="4">
        <v>65.099999999999994</v>
      </c>
    </row>
    <row r="29" spans="1:13">
      <c r="A29" s="4" t="s">
        <v>40</v>
      </c>
      <c r="B29" s="4">
        <v>14.8</v>
      </c>
      <c r="C29" s="4">
        <v>13.5</v>
      </c>
      <c r="D29" s="4">
        <v>14</v>
      </c>
      <c r="E29" s="4">
        <v>14.8</v>
      </c>
      <c r="F29" s="4">
        <v>0.41</v>
      </c>
      <c r="G29" s="4">
        <v>0.4</v>
      </c>
      <c r="H29" s="4">
        <v>0.39</v>
      </c>
      <c r="I29" s="4">
        <v>0.4</v>
      </c>
      <c r="J29" s="4">
        <v>66.7</v>
      </c>
      <c r="K29" s="4">
        <v>68.3</v>
      </c>
      <c r="L29" s="4">
        <v>67.3</v>
      </c>
      <c r="M29" s="4">
        <v>67.099999999999994</v>
      </c>
    </row>
    <row r="30" spans="1:13">
      <c r="A30" s="4" t="s">
        <v>41</v>
      </c>
      <c r="B30" s="4">
        <v>10.8</v>
      </c>
      <c r="C30" s="4">
        <v>9.9</v>
      </c>
      <c r="D30" s="4">
        <v>10.199999999999999</v>
      </c>
      <c r="E30" s="4">
        <v>13.1</v>
      </c>
      <c r="F30" s="4">
        <v>0.32999999999999996</v>
      </c>
      <c r="G30" s="4">
        <v>0.33999999999999997</v>
      </c>
      <c r="H30" s="4">
        <v>0.36</v>
      </c>
      <c r="I30" s="4">
        <v>0.35</v>
      </c>
      <c r="J30" s="4">
        <v>66.400000000000006</v>
      </c>
      <c r="K30" s="4">
        <v>66.3</v>
      </c>
      <c r="L30" s="4">
        <v>67.8</v>
      </c>
      <c r="M30" s="4">
        <v>68.400000000000006</v>
      </c>
    </row>
    <row r="31" spans="1:13">
      <c r="A31" s="4" t="s">
        <v>42</v>
      </c>
      <c r="B31" s="4">
        <v>11.3</v>
      </c>
      <c r="C31" s="4">
        <v>13</v>
      </c>
      <c r="D31" s="4">
        <v>16.399999999999999</v>
      </c>
      <c r="E31" s="4">
        <v>15.9</v>
      </c>
      <c r="F31" s="4">
        <v>0.64</v>
      </c>
      <c r="G31" s="4">
        <v>0.65999999999999992</v>
      </c>
      <c r="H31" s="4">
        <v>0.59000000000000008</v>
      </c>
      <c r="I31" s="4">
        <v>0.55999999999999994</v>
      </c>
      <c r="J31" s="4">
        <v>64.5</v>
      </c>
      <c r="K31" s="4">
        <v>63.8</v>
      </c>
      <c r="L31" s="4">
        <v>64.2</v>
      </c>
      <c r="M31" s="4">
        <v>65.900000000000006</v>
      </c>
    </row>
    <row r="32" spans="1:13">
      <c r="A32" s="4" t="s">
        <v>43</v>
      </c>
      <c r="B32" s="4">
        <v>7.6</v>
      </c>
      <c r="C32" s="4">
        <v>7.8</v>
      </c>
      <c r="D32" s="4">
        <v>6.6</v>
      </c>
      <c r="E32" s="4">
        <v>8.8000000000000007</v>
      </c>
      <c r="F32" s="4">
        <v>0.39</v>
      </c>
      <c r="G32" s="4">
        <v>0.37</v>
      </c>
      <c r="H32" s="4">
        <v>0.38</v>
      </c>
      <c r="I32" s="4">
        <v>0.38</v>
      </c>
      <c r="J32" s="4">
        <v>66.7</v>
      </c>
      <c r="K32" s="4">
        <v>66.900000000000006</v>
      </c>
      <c r="L32" s="4">
        <v>67.2</v>
      </c>
      <c r="M32" s="4">
        <v>67.900000000000006</v>
      </c>
    </row>
    <row r="33" spans="1:13">
      <c r="A33" s="4" t="s">
        <v>44</v>
      </c>
      <c r="B33" s="4">
        <v>8.6999999999999993</v>
      </c>
      <c r="C33" s="4">
        <v>9.3000000000000007</v>
      </c>
      <c r="D33" s="4">
        <v>10.7</v>
      </c>
      <c r="E33" s="4">
        <v>10.4</v>
      </c>
      <c r="F33" s="4">
        <v>0.3</v>
      </c>
      <c r="G33" s="4">
        <v>0.27</v>
      </c>
      <c r="H33" s="4">
        <v>0.3</v>
      </c>
      <c r="I33" s="4">
        <v>0.28999999999999998</v>
      </c>
      <c r="J33" s="4">
        <v>65.8</v>
      </c>
      <c r="K33" s="4">
        <v>65.599999999999994</v>
      </c>
      <c r="L33" s="4">
        <v>66.599999999999994</v>
      </c>
      <c r="M33" s="4">
        <v>66.5</v>
      </c>
    </row>
    <row r="34" spans="1:13">
      <c r="A34" s="4" t="s">
        <v>45</v>
      </c>
      <c r="B34" s="4">
        <v>17.100000000000001</v>
      </c>
      <c r="C34" s="4">
        <v>19.3</v>
      </c>
      <c r="D34" s="4">
        <v>18.600000000000001</v>
      </c>
      <c r="E34" s="4">
        <v>21.5</v>
      </c>
      <c r="F34" s="4">
        <v>0.41</v>
      </c>
      <c r="G34" s="4">
        <v>0.39</v>
      </c>
      <c r="H34" s="4">
        <v>0.4</v>
      </c>
      <c r="I34" s="4">
        <v>0.32999999999999996</v>
      </c>
      <c r="J34" s="4">
        <v>66.3</v>
      </c>
      <c r="K34" s="4">
        <v>65.3</v>
      </c>
      <c r="L34" s="4">
        <v>66.7</v>
      </c>
      <c r="M34" s="4">
        <v>66.8</v>
      </c>
    </row>
    <row r="35" spans="1:13">
      <c r="A35" s="4" t="s">
        <v>46</v>
      </c>
      <c r="B35" s="4">
        <v>13.6</v>
      </c>
      <c r="C35" s="4">
        <v>15.8</v>
      </c>
      <c r="D35" s="4">
        <v>16</v>
      </c>
      <c r="E35" s="4">
        <v>16</v>
      </c>
      <c r="F35" s="4">
        <v>0.27999999999999997</v>
      </c>
      <c r="G35" s="4">
        <v>0.26</v>
      </c>
      <c r="H35" s="4">
        <v>0.28999999999999998</v>
      </c>
      <c r="I35" s="4">
        <v>0.28999999999999998</v>
      </c>
      <c r="J35" s="4">
        <v>64.7</v>
      </c>
      <c r="K35" s="4">
        <v>65</v>
      </c>
      <c r="L35" s="4">
        <v>65.900000000000006</v>
      </c>
      <c r="M35" s="4">
        <v>65.2</v>
      </c>
    </row>
    <row r="36" spans="1:13">
      <c r="A36" s="4" t="s">
        <v>47</v>
      </c>
      <c r="B36" s="4">
        <v>14.6</v>
      </c>
      <c r="C36" s="4">
        <v>16.899999999999999</v>
      </c>
      <c r="D36" s="4">
        <v>17.399999999999999</v>
      </c>
      <c r="E36" s="4">
        <v>17.899999999999999</v>
      </c>
      <c r="F36" s="4">
        <v>0.38</v>
      </c>
      <c r="G36" s="4">
        <v>0.38</v>
      </c>
      <c r="H36" s="4">
        <v>0.38</v>
      </c>
      <c r="I36" s="4">
        <v>0.37</v>
      </c>
      <c r="J36" s="4">
        <v>64.8</v>
      </c>
      <c r="K36" s="4">
        <v>65.099999999999994</v>
      </c>
      <c r="L36" s="4">
        <v>65.099999999999994</v>
      </c>
      <c r="M36" s="4">
        <v>66.5</v>
      </c>
    </row>
    <row r="37" spans="1:13">
      <c r="A37" s="4" t="s">
        <v>48</v>
      </c>
      <c r="B37" s="4">
        <v>12</v>
      </c>
      <c r="C37" s="4">
        <v>10.9</v>
      </c>
      <c r="D37" s="4">
        <v>12.2</v>
      </c>
      <c r="E37" s="4">
        <v>12.2</v>
      </c>
      <c r="F37" s="4">
        <v>0.28999999999999998</v>
      </c>
      <c r="G37" s="4">
        <v>0.27999999999999997</v>
      </c>
      <c r="H37" s="4">
        <v>0.31</v>
      </c>
      <c r="I37" s="4">
        <v>0.27</v>
      </c>
      <c r="J37" s="4">
        <v>65.5</v>
      </c>
      <c r="K37" s="4">
        <v>67.3</v>
      </c>
      <c r="L37" s="4">
        <v>68.400000000000006</v>
      </c>
      <c r="M37" s="4">
        <v>70.5</v>
      </c>
    </row>
    <row r="38" spans="1:13">
      <c r="A38" s="4" t="s">
        <v>49</v>
      </c>
      <c r="B38" s="4">
        <v>13.4</v>
      </c>
      <c r="C38" s="4">
        <v>13.3</v>
      </c>
      <c r="D38" s="4">
        <v>15.3</v>
      </c>
      <c r="E38" s="4">
        <v>16.399999999999999</v>
      </c>
      <c r="F38" s="4">
        <v>0.32999999999999996</v>
      </c>
      <c r="G38" s="4">
        <v>0.32999999999999996</v>
      </c>
      <c r="H38" s="4">
        <v>0.33999999999999997</v>
      </c>
      <c r="I38" s="4">
        <v>0.33999999999999997</v>
      </c>
      <c r="J38" s="4">
        <v>62.8</v>
      </c>
      <c r="K38" s="4">
        <v>63.6</v>
      </c>
      <c r="L38" s="4">
        <v>63.8</v>
      </c>
      <c r="M38" s="4">
        <v>64.400000000000006</v>
      </c>
    </row>
    <row r="39" spans="1:13">
      <c r="A39" s="4" t="s">
        <v>50</v>
      </c>
      <c r="B39" s="4">
        <v>15.9</v>
      </c>
      <c r="C39" s="4">
        <v>12.9</v>
      </c>
      <c r="D39" s="4">
        <v>16.3</v>
      </c>
      <c r="E39" s="4">
        <v>17.2</v>
      </c>
      <c r="F39" s="4">
        <v>0.53</v>
      </c>
      <c r="G39" s="4">
        <v>0.48</v>
      </c>
      <c r="H39" s="4">
        <v>0.52</v>
      </c>
      <c r="I39" s="4">
        <v>0.52</v>
      </c>
      <c r="J39" s="4">
        <v>64</v>
      </c>
      <c r="K39" s="4">
        <v>64.2</v>
      </c>
      <c r="L39" s="4">
        <v>64.900000000000006</v>
      </c>
      <c r="M39" s="4">
        <v>64.8</v>
      </c>
    </row>
    <row r="40" spans="1:13">
      <c r="A40" s="4" t="s">
        <v>51</v>
      </c>
      <c r="B40" s="4">
        <v>13.6</v>
      </c>
      <c r="C40" s="4">
        <v>13.4</v>
      </c>
      <c r="D40" s="4">
        <v>14.2</v>
      </c>
      <c r="E40" s="4">
        <v>17.5</v>
      </c>
      <c r="F40" s="4">
        <v>0.39</v>
      </c>
      <c r="G40" s="4">
        <v>0.39</v>
      </c>
      <c r="H40" s="4">
        <v>0.4</v>
      </c>
      <c r="I40" s="4">
        <v>0.38</v>
      </c>
      <c r="J40" s="4">
        <v>66.3</v>
      </c>
      <c r="K40" s="4">
        <v>66</v>
      </c>
      <c r="L40" s="4">
        <v>66.3</v>
      </c>
      <c r="M40" s="4">
        <v>67.2</v>
      </c>
    </row>
    <row r="41" spans="1:13">
      <c r="A41" s="4" t="s">
        <v>52</v>
      </c>
      <c r="B41" s="4">
        <v>12.1</v>
      </c>
      <c r="C41" s="4">
        <v>11.1</v>
      </c>
      <c r="D41" s="4">
        <v>12.2</v>
      </c>
      <c r="E41" s="4">
        <v>13.8</v>
      </c>
      <c r="F41" s="4">
        <v>0.27</v>
      </c>
      <c r="G41" s="4">
        <v>0.27</v>
      </c>
      <c r="H41" s="4">
        <v>0.27</v>
      </c>
      <c r="I41" s="4">
        <v>0.27999999999999997</v>
      </c>
      <c r="J41" s="4">
        <v>64.900000000000006</v>
      </c>
      <c r="K41" s="4">
        <v>65.400000000000006</v>
      </c>
      <c r="L41" s="4">
        <v>66.099999999999994</v>
      </c>
      <c r="M41" s="4">
        <v>65.8</v>
      </c>
    </row>
    <row r="42" spans="1:13">
      <c r="A42" s="4" t="s">
        <v>53</v>
      </c>
      <c r="B42" s="4">
        <v>11.7</v>
      </c>
      <c r="C42" s="4">
        <v>13</v>
      </c>
      <c r="D42" s="4">
        <v>13.6</v>
      </c>
      <c r="E42" s="4">
        <v>14.7</v>
      </c>
      <c r="F42" s="4">
        <v>0.27</v>
      </c>
      <c r="G42" s="4">
        <v>0.3</v>
      </c>
      <c r="H42" s="4">
        <v>0.32</v>
      </c>
      <c r="I42" s="4">
        <v>0.32</v>
      </c>
      <c r="J42" s="4">
        <v>64.599999999999994</v>
      </c>
      <c r="K42" s="4">
        <v>64.2</v>
      </c>
      <c r="L42" s="4">
        <v>65.7</v>
      </c>
      <c r="M42" s="4">
        <v>66.2</v>
      </c>
    </row>
    <row r="43" spans="1:13">
      <c r="A43" s="4" t="s">
        <v>54</v>
      </c>
      <c r="B43" s="4">
        <v>15.7</v>
      </c>
      <c r="C43" s="4">
        <v>13.7</v>
      </c>
      <c r="D43" s="4">
        <v>17</v>
      </c>
      <c r="E43" s="4">
        <v>18.899999999999999</v>
      </c>
      <c r="F43" s="4">
        <v>0.27999999999999997</v>
      </c>
      <c r="G43" s="4">
        <v>0.3</v>
      </c>
      <c r="H43" s="4">
        <v>0.31</v>
      </c>
      <c r="I43" s="4">
        <v>0.32</v>
      </c>
      <c r="J43" s="4">
        <v>65.7</v>
      </c>
      <c r="K43" s="4">
        <v>64.900000000000006</v>
      </c>
      <c r="L43" s="4">
        <v>65.3</v>
      </c>
      <c r="M43" s="4">
        <v>65.7</v>
      </c>
    </row>
    <row r="44" spans="1:13">
      <c r="A44" s="4" t="s">
        <v>55</v>
      </c>
      <c r="B44" s="4">
        <v>12.5</v>
      </c>
      <c r="C44" s="4">
        <v>14.1</v>
      </c>
      <c r="D44" s="4">
        <v>13.2</v>
      </c>
      <c r="E44" s="4">
        <v>13.9</v>
      </c>
      <c r="F44" s="4">
        <v>0.31</v>
      </c>
      <c r="G44" s="4">
        <v>0.32999999999999996</v>
      </c>
      <c r="H44" s="4">
        <v>0.33999999999999997</v>
      </c>
      <c r="I44" s="4">
        <v>0.32999999999999996</v>
      </c>
      <c r="J44" s="4">
        <v>64.3</v>
      </c>
      <c r="K44" s="4">
        <v>66.5</v>
      </c>
      <c r="L44" s="4">
        <v>68</v>
      </c>
      <c r="M44" s="4">
        <v>67.599999999999994</v>
      </c>
    </row>
    <row r="45" spans="1:13">
      <c r="A45" s="4" t="s">
        <v>56</v>
      </c>
      <c r="B45" s="4">
        <v>15.5</v>
      </c>
      <c r="C45" s="4">
        <v>16.5</v>
      </c>
      <c r="D45" s="4">
        <v>16.7</v>
      </c>
      <c r="E45" s="4">
        <v>18.3</v>
      </c>
      <c r="F45" s="4">
        <v>0.42000000000000004</v>
      </c>
      <c r="G45" s="4">
        <v>0.39</v>
      </c>
      <c r="H45" s="4">
        <v>0.42000000000000004</v>
      </c>
      <c r="I45" s="4">
        <v>0.43</v>
      </c>
      <c r="J45" s="4">
        <v>64</v>
      </c>
      <c r="K45" s="4">
        <v>64</v>
      </c>
      <c r="L45" s="4">
        <v>64.8</v>
      </c>
      <c r="M45" s="4">
        <v>64.7</v>
      </c>
    </row>
    <row r="46" spans="1:13">
      <c r="A46" s="4" t="s">
        <v>57</v>
      </c>
      <c r="B46" s="4">
        <v>15.8</v>
      </c>
      <c r="C46" s="4">
        <v>17.3</v>
      </c>
      <c r="D46" s="4">
        <v>18.399999999999999</v>
      </c>
      <c r="E46" s="4">
        <v>18.5</v>
      </c>
      <c r="F46" s="4">
        <v>0.32999999999999996</v>
      </c>
      <c r="G46" s="4">
        <v>0.32999999999999996</v>
      </c>
      <c r="H46" s="4">
        <v>0.32999999999999996</v>
      </c>
      <c r="I46" s="4">
        <v>0.32</v>
      </c>
      <c r="J46" s="4">
        <v>66.099999999999994</v>
      </c>
      <c r="K46" s="4">
        <v>66.2</v>
      </c>
      <c r="L46" s="4">
        <v>66.3</v>
      </c>
      <c r="M46" s="4">
        <v>66.599999999999994</v>
      </c>
    </row>
    <row r="47" spans="1:13">
      <c r="A47" s="4" t="s">
        <v>58</v>
      </c>
      <c r="B47" s="4">
        <v>9.6</v>
      </c>
      <c r="C47" s="4">
        <v>9.6999999999999993</v>
      </c>
      <c r="D47" s="4">
        <v>10</v>
      </c>
      <c r="E47" s="4">
        <v>13.5</v>
      </c>
      <c r="F47" s="4">
        <v>0.38</v>
      </c>
      <c r="G47" s="4">
        <v>0.37</v>
      </c>
      <c r="H47" s="4">
        <v>0.37</v>
      </c>
      <c r="I47" s="4">
        <v>0.37</v>
      </c>
      <c r="J47" s="4">
        <v>69.2</v>
      </c>
      <c r="K47" s="4">
        <v>68.3</v>
      </c>
      <c r="L47" s="4">
        <v>67.900000000000006</v>
      </c>
      <c r="M47" s="4">
        <v>68.099999999999994</v>
      </c>
    </row>
    <row r="48" spans="1:13">
      <c r="A48" s="4" t="s">
        <v>59</v>
      </c>
      <c r="B48" s="4">
        <v>10.6</v>
      </c>
      <c r="C48" s="4">
        <v>9.4</v>
      </c>
      <c r="D48" s="4">
        <v>10.8</v>
      </c>
      <c r="E48" s="4">
        <v>11.5</v>
      </c>
      <c r="F48" s="4">
        <v>0.36</v>
      </c>
      <c r="G48" s="4">
        <v>0.35</v>
      </c>
      <c r="H48" s="4">
        <v>0.38</v>
      </c>
      <c r="I48" s="4">
        <v>0.36</v>
      </c>
      <c r="J48" s="4">
        <v>66.599999999999994</v>
      </c>
      <c r="K48" s="4">
        <v>67.400000000000006</v>
      </c>
      <c r="L48" s="4">
        <v>67.099999999999994</v>
      </c>
      <c r="M48" s="4">
        <v>67.8</v>
      </c>
    </row>
    <row r="49" spans="1:13">
      <c r="A49" s="4" t="s">
        <v>60</v>
      </c>
      <c r="B49" s="4">
        <v>10.199999999999999</v>
      </c>
      <c r="C49" s="4">
        <v>10.7</v>
      </c>
      <c r="D49" s="4">
        <v>10.7</v>
      </c>
      <c r="E49" s="4">
        <v>11.5</v>
      </c>
      <c r="F49" s="4">
        <v>0.38</v>
      </c>
      <c r="G49" s="4">
        <v>0.37</v>
      </c>
      <c r="H49" s="4">
        <v>0.38</v>
      </c>
      <c r="I49" s="4">
        <v>0.38</v>
      </c>
      <c r="J49" s="4">
        <v>66.5</v>
      </c>
      <c r="K49" s="4">
        <v>67</v>
      </c>
      <c r="L49" s="4">
        <v>66.7</v>
      </c>
      <c r="M49" s="4">
        <v>67.599999999999994</v>
      </c>
    </row>
    <row r="50" spans="1:13">
      <c r="A50" s="4" t="s">
        <v>61</v>
      </c>
      <c r="B50" s="4">
        <v>11.3</v>
      </c>
      <c r="C50" s="4">
        <v>11.7</v>
      </c>
      <c r="D50" s="4">
        <v>11.5</v>
      </c>
      <c r="E50" s="4">
        <v>13.9</v>
      </c>
      <c r="F50" s="4">
        <v>0.39</v>
      </c>
      <c r="G50" s="4">
        <v>0.39</v>
      </c>
      <c r="H50" s="4">
        <v>0.42000000000000004</v>
      </c>
      <c r="I50" s="4">
        <v>0.41</v>
      </c>
      <c r="J50" s="4">
        <v>67.099999999999994</v>
      </c>
      <c r="K50" s="4">
        <v>66.8</v>
      </c>
      <c r="L50" s="4">
        <v>67.5</v>
      </c>
      <c r="M50" s="4">
        <v>67.2</v>
      </c>
    </row>
    <row r="51" spans="1:13">
      <c r="A51" s="4" t="s">
        <v>62</v>
      </c>
      <c r="B51" s="4">
        <v>17</v>
      </c>
      <c r="C51" s="4">
        <v>15.8</v>
      </c>
      <c r="D51" s="4">
        <v>16.899999999999999</v>
      </c>
      <c r="E51" s="4">
        <v>18.600000000000001</v>
      </c>
      <c r="F51" s="4">
        <v>0.48</v>
      </c>
      <c r="G51" s="4">
        <v>0.51</v>
      </c>
      <c r="H51" s="4">
        <v>0.51</v>
      </c>
      <c r="I51" s="4">
        <v>0.52</v>
      </c>
      <c r="J51" s="4">
        <v>61.2</v>
      </c>
      <c r="K51" s="4">
        <v>60.5</v>
      </c>
      <c r="L51" s="4">
        <v>61.7</v>
      </c>
      <c r="M51" s="4">
        <v>62.4</v>
      </c>
    </row>
    <row r="52" spans="1:13">
      <c r="A52" s="4" t="s">
        <v>63</v>
      </c>
      <c r="B52" s="4">
        <v>10.4</v>
      </c>
      <c r="C52" s="4">
        <v>10.8</v>
      </c>
      <c r="D52" s="4">
        <v>9.9</v>
      </c>
      <c r="E52" s="4">
        <v>13.1</v>
      </c>
      <c r="F52" s="4">
        <v>0.3</v>
      </c>
      <c r="G52" s="4">
        <v>0.28999999999999998</v>
      </c>
      <c r="H52" s="4">
        <v>0.3</v>
      </c>
      <c r="I52" s="4">
        <v>0.28999999999999998</v>
      </c>
      <c r="J52" s="4">
        <v>65.900000000000006</v>
      </c>
      <c r="K52" s="4">
        <v>66</v>
      </c>
      <c r="L52" s="4">
        <v>66.7</v>
      </c>
      <c r="M52" s="4">
        <v>66.599999999999994</v>
      </c>
    </row>
    <row r="53" spans="1:13">
      <c r="A53" s="4" t="s">
        <v>64</v>
      </c>
      <c r="B53" s="4">
        <v>9.4</v>
      </c>
      <c r="C53" s="4">
        <v>9.1999999999999993</v>
      </c>
      <c r="D53" s="4">
        <v>9.6</v>
      </c>
      <c r="E53" s="4">
        <v>11.3</v>
      </c>
      <c r="F53" s="4">
        <v>0.49000000000000005</v>
      </c>
      <c r="G53" s="4">
        <v>0.51</v>
      </c>
      <c r="H53" s="4">
        <v>0.51</v>
      </c>
      <c r="I53" s="4">
        <v>0.48</v>
      </c>
      <c r="J53" s="4">
        <v>68</v>
      </c>
      <c r="K53" s="4">
        <v>66.7</v>
      </c>
      <c r="L53" s="4">
        <v>69.2</v>
      </c>
      <c r="M53" s="4">
        <v>66.5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tabSelected="1" workbookViewId="0">
      <pane ySplit="2" topLeftCell="A3" activePane="bottomLeft" state="frozen"/>
      <selection pane="bottomLeft" activeCell="B4" sqref="B4"/>
    </sheetView>
  </sheetViews>
  <sheetFormatPr defaultRowHeight="15"/>
  <cols>
    <col min="1" max="1" width="14.140625" customWidth="1"/>
    <col min="2" max="2" width="7.42578125" customWidth="1"/>
    <col min="3" max="3" width="7.28515625" customWidth="1"/>
    <col min="4" max="4" width="18.7109375" bestFit="1" customWidth="1"/>
    <col min="5" max="5" width="13.28515625" customWidth="1"/>
    <col min="6" max="6" width="13.140625" customWidth="1"/>
    <col min="9" max="9" width="13.85546875" customWidth="1"/>
    <col min="13" max="13" width="11" bestFit="1" customWidth="1"/>
    <col min="17" max="17" width="9.140625" hidden="1" customWidth="1"/>
  </cols>
  <sheetData>
    <row r="1" spans="1:17">
      <c r="A1" s="14"/>
      <c r="B1" s="14"/>
      <c r="C1" s="6"/>
      <c r="D1" s="21" t="s">
        <v>72</v>
      </c>
      <c r="E1" s="22" t="s">
        <v>68</v>
      </c>
      <c r="F1" s="23" t="s">
        <v>71</v>
      </c>
    </row>
    <row r="2" spans="1:17" ht="15.75" thickBot="1">
      <c r="A2" s="13"/>
      <c r="B2" s="13"/>
      <c r="C2" s="10"/>
      <c r="D2" s="24" t="s">
        <v>67</v>
      </c>
      <c r="E2" s="25">
        <v>2009</v>
      </c>
      <c r="F2" s="26">
        <v>2009</v>
      </c>
    </row>
    <row r="3" spans="1:17">
      <c r="A3" s="12"/>
      <c r="B3" s="12"/>
      <c r="C3" s="11"/>
      <c r="D3" s="8" t="s">
        <v>13</v>
      </c>
      <c r="E3" s="27">
        <f>INDEX(DATA!$A$2:$M$53,MATCH(D3,DATA!$A$3:$A$53,0)+1,MATCH(CONCATENATE($E$1," ",$E$2),Column,0)+1)</f>
        <v>16.600000000000001</v>
      </c>
      <c r="F3" s="27">
        <f>INDEX(DATA!$A$2:$M$53,MATCH(D3,DATA!$A$3:$A$53,0)+1,MATCH(CONCATENATE($F$1," ",$F$2),Column,0)+1)</f>
        <v>0.44000000000000006</v>
      </c>
      <c r="I3" s="16" t="s">
        <v>65</v>
      </c>
      <c r="J3" s="17">
        <f>CORREL(E3:E53,F3:F53)</f>
        <v>0.16844779202817972</v>
      </c>
      <c r="Q3" t="str">
        <f>CONCATENATE(E1," ",E2)</f>
        <v>POVERTY 2009</v>
      </c>
    </row>
    <row r="4" spans="1:17" ht="15.75" thickBot="1">
      <c r="D4" s="7" t="s">
        <v>14</v>
      </c>
      <c r="E4" s="28">
        <f>INDEX(DATA!$A$2:$M$53,MATCH(D4,DATA!$A$3:$A$53,0)+1,MATCH(CONCATENATE($E$1," ",$E$2),Column,0)+1)</f>
        <v>11.7</v>
      </c>
      <c r="F4" s="28">
        <f>INDEX(DATA!$A$2:$M$53,MATCH(D4,DATA!$A$3:$A$53,0)+1,MATCH(CONCATENATE($F$1," ",$F$2),Column,0)+1)</f>
        <v>0.44000000000000006</v>
      </c>
      <c r="I4" s="16" t="s">
        <v>66</v>
      </c>
      <c r="J4" s="18">
        <f>COVAR(E3:E53,F3:F53)</f>
        <v>5.9027882797731593E-2</v>
      </c>
      <c r="Q4" t="str">
        <f>CONCATENATE(F1," ",F2)</f>
        <v>DIVORCE 2009</v>
      </c>
    </row>
    <row r="5" spans="1:17">
      <c r="D5" s="8" t="s">
        <v>15</v>
      </c>
      <c r="E5" s="28">
        <f>INDEX(DATA!$A$2:$M$53,MATCH(D5,DATA!$A$3:$A$53,0)+1,MATCH(CONCATENATE($E$1," ",$E$2),Column,0)+1)</f>
        <v>21.2</v>
      </c>
      <c r="F5" s="28">
        <f>INDEX(DATA!$A$2:$M$53,MATCH(D5,DATA!$A$3:$A$53,0)+1,MATCH(CONCATENATE($F$1," ",$F$2),Column,0)+1)</f>
        <v>0.36</v>
      </c>
    </row>
    <row r="6" spans="1:17">
      <c r="D6" s="7" t="s">
        <v>16</v>
      </c>
      <c r="E6" s="28">
        <f>INDEX(DATA!$A$2:$M$53,MATCH(D6,DATA!$A$3:$A$53,0)+1,MATCH(CONCATENATE($E$1," ",$E$2),Column,0)+1)</f>
        <v>18.899999999999999</v>
      </c>
      <c r="F6" s="28">
        <f>INDEX(DATA!$A$2:$M$53,MATCH(D6,DATA!$A$3:$A$53,0)+1,MATCH(CONCATENATE($F$1," ",$F$2),Column,0)+1)</f>
        <v>0.57000000000000006</v>
      </c>
    </row>
    <row r="7" spans="1:17">
      <c r="D7" s="8" t="s">
        <v>17</v>
      </c>
      <c r="E7" s="28">
        <f>INDEX(DATA!$A$2:$M$53,MATCH(D7,DATA!$A$3:$A$53,0)+1,MATCH(CONCATENATE($E$1," ",$E$2),Column,0)+1)</f>
        <v>15.3</v>
      </c>
      <c r="F7" s="28">
        <f>INDEX(DATA!$A$2:$M$53,MATCH(D7,DATA!$A$3:$A$53,0)+1,MATCH(CONCATENATE($F$1," ",$F$2),Column,0)+1)</f>
        <v>0</v>
      </c>
    </row>
    <row r="8" spans="1:17">
      <c r="D8" s="7" t="s">
        <v>18</v>
      </c>
      <c r="E8" s="28">
        <f>INDEX(DATA!$A$2:$M$53,MATCH(D8,DATA!$A$3:$A$53,0)+1,MATCH(CONCATENATE($E$1," ",$E$2),Column,0)+1)</f>
        <v>12.3</v>
      </c>
      <c r="F8" s="28">
        <f>INDEX(DATA!$A$2:$M$53,MATCH(D8,DATA!$A$3:$A$53,0)+1,MATCH(CONCATENATE($F$1," ",$F$2),Column,0)+1)</f>
        <v>0.43</v>
      </c>
      <c r="I8" s="30"/>
    </row>
    <row r="9" spans="1:17">
      <c r="A9" s="15"/>
      <c r="D9" s="8" t="s">
        <v>19</v>
      </c>
      <c r="E9" s="28">
        <f>INDEX(DATA!$A$2:$M$53,MATCH(D9,DATA!$A$3:$A$53,0)+1,MATCH(CONCATENATE($E$1," ",$E$2),Column,0)+1)</f>
        <v>8.4</v>
      </c>
      <c r="F9" s="28">
        <f>INDEX(DATA!$A$2:$M$53,MATCH(D9,DATA!$A$3:$A$53,0)+1,MATCH(CONCATENATE($F$1," ",$F$2),Column,0)+1)</f>
        <v>0.3</v>
      </c>
      <c r="I9" s="30"/>
    </row>
    <row r="10" spans="1:17">
      <c r="A10" s="20" t="s">
        <v>68</v>
      </c>
      <c r="B10" s="19">
        <v>2008</v>
      </c>
      <c r="D10" s="7" t="s">
        <v>20</v>
      </c>
      <c r="E10" s="28">
        <f>INDEX(DATA!$A$2:$M$53,MATCH(D10,DATA!$A$3:$A$53,0)+1,MATCH(CONCATENATE($E$1," ",$E$2),Column,0)+1)</f>
        <v>12.3</v>
      </c>
      <c r="F10" s="28">
        <f>INDEX(DATA!$A$2:$M$53,MATCH(D10,DATA!$A$3:$A$53,0)+1,MATCH(CONCATENATE($F$1," ",$F$2),Column,0)+1)</f>
        <v>0.36</v>
      </c>
    </row>
    <row r="11" spans="1:17">
      <c r="A11" s="20" t="s">
        <v>71</v>
      </c>
      <c r="B11" s="19">
        <v>2009</v>
      </c>
      <c r="D11" s="8" t="s">
        <v>21</v>
      </c>
      <c r="E11" s="28">
        <f>INDEX(DATA!$A$2:$M$53,MATCH(D11,DATA!$A$3:$A$53,0)+1,MATCH(CONCATENATE($E$1," ",$E$2),Column,0)+1)</f>
        <v>17.899999999999999</v>
      </c>
      <c r="F11" s="28">
        <f>INDEX(DATA!$A$2:$M$53,MATCH(D11,DATA!$A$3:$A$53,0)+1,MATCH(CONCATENATE($F$1," ",$F$2),Column,0)+1)</f>
        <v>0.27</v>
      </c>
    </row>
    <row r="12" spans="1:17">
      <c r="A12" s="20" t="s">
        <v>70</v>
      </c>
      <c r="B12" s="19">
        <v>2010</v>
      </c>
      <c r="D12" s="7" t="s">
        <v>23</v>
      </c>
      <c r="E12" s="28">
        <f>INDEX(DATA!$A$2:$M$53,MATCH(D12,DATA!$A$3:$A$53,0)+1,MATCH(CONCATENATE($E$1," ",$E$2),Column,0)+1)</f>
        <v>14.6</v>
      </c>
      <c r="F12" s="28">
        <f>INDEX(DATA!$A$2:$M$53,MATCH(D12,DATA!$A$3:$A$53,0)+1,MATCH(CONCATENATE($F$1," ",$F$2),Column,0)+1)</f>
        <v>0.42000000000000004</v>
      </c>
    </row>
    <row r="13" spans="1:17">
      <c r="B13" s="19">
        <v>2011</v>
      </c>
      <c r="D13" s="8" t="s">
        <v>24</v>
      </c>
      <c r="E13" s="28">
        <f>INDEX(DATA!$A$2:$M$53,MATCH(D13,DATA!$A$3:$A$53,0)+1,MATCH(CONCATENATE($E$1," ",$E$2),Column,0)+1)</f>
        <v>18.399999999999999</v>
      </c>
      <c r="F13" s="28" t="str">
        <f>INDEX(DATA!$A$2:$M$53,MATCH(D13,DATA!$A$3:$A$53,0)+1,MATCH(CONCATENATE($F$1," ",$F$2),Column,0)+1)</f>
        <v>--</v>
      </c>
    </row>
    <row r="14" spans="1:17">
      <c r="D14" s="7" t="s">
        <v>25</v>
      </c>
      <c r="E14" s="28">
        <f>INDEX(DATA!$A$2:$M$53,MATCH(D14,DATA!$A$3:$A$53,0)+1,MATCH(CONCATENATE($E$1," ",$E$2),Column,0)+1)</f>
        <v>12.5</v>
      </c>
      <c r="F14" s="28" t="str">
        <f>INDEX(DATA!$A$2:$M$53,MATCH(D14,DATA!$A$3:$A$53,0)+1,MATCH(CONCATENATE($F$1," ",$F$2),Column,0)+1)</f>
        <v>--</v>
      </c>
    </row>
    <row r="15" spans="1:17">
      <c r="D15" s="8" t="s">
        <v>26</v>
      </c>
      <c r="E15" s="28">
        <f>INDEX(DATA!$A$2:$M$53,MATCH(D15,DATA!$A$3:$A$53,0)+1,MATCH(CONCATENATE($E$1," ",$E$2),Column,0)+1)</f>
        <v>13.7</v>
      </c>
      <c r="F15" s="28">
        <f>INDEX(DATA!$A$2:$M$53,MATCH(D15,DATA!$A$3:$A$53,0)+1,MATCH(CONCATENATE($F$1," ",$F$2),Column,0)+1)</f>
        <v>0.5</v>
      </c>
    </row>
    <row r="16" spans="1:17">
      <c r="D16" s="7" t="s">
        <v>27</v>
      </c>
      <c r="E16" s="28">
        <f>INDEX(DATA!$A$2:$M$53,MATCH(D16,DATA!$A$3:$A$53,0)+1,MATCH(CONCATENATE($E$1," ",$E$2),Column,0)+1)</f>
        <v>13.2</v>
      </c>
      <c r="F16" s="28">
        <f>INDEX(DATA!$A$2:$M$53,MATCH(D16,DATA!$A$3:$A$53,0)+1,MATCH(CONCATENATE($F$1," ",$F$2),Column,0)+1)</f>
        <v>0.25</v>
      </c>
    </row>
    <row r="17" spans="4:6">
      <c r="D17" s="8" t="s">
        <v>28</v>
      </c>
      <c r="E17" s="28">
        <f>INDEX(DATA!$A$2:$M$53,MATCH(D17,DATA!$A$3:$A$53,0)+1,MATCH(CONCATENATE($E$1," ",$E$2),Column,0)+1)</f>
        <v>16.100000000000001</v>
      </c>
      <c r="F17" s="28" t="str">
        <f>INDEX(DATA!$A$2:$M$53,MATCH(D17,DATA!$A$3:$A$53,0)+1,MATCH(CONCATENATE($F$1," ",$F$2),Column,0)+1)</f>
        <v>--</v>
      </c>
    </row>
    <row r="18" spans="4:6">
      <c r="D18" s="7" t="s">
        <v>29</v>
      </c>
      <c r="E18" s="28">
        <f>INDEX(DATA!$A$2:$M$53,MATCH(D18,DATA!$A$3:$A$53,0)+1,MATCH(CONCATENATE($E$1," ",$E$2),Column,0)+1)</f>
        <v>10.7</v>
      </c>
      <c r="F18" s="28">
        <f>INDEX(DATA!$A$2:$M$53,MATCH(D18,DATA!$A$3:$A$53,0)+1,MATCH(CONCATENATE($F$1," ",$F$2),Column,0)+1)</f>
        <v>0.24</v>
      </c>
    </row>
    <row r="19" spans="4:6">
      <c r="D19" s="8" t="s">
        <v>30</v>
      </c>
      <c r="E19" s="28">
        <f>INDEX(DATA!$A$2:$M$53,MATCH(D19,DATA!$A$3:$A$53,0)+1,MATCH(CONCATENATE($E$1," ",$E$2),Column,0)+1)</f>
        <v>13.7</v>
      </c>
      <c r="F19" s="28">
        <f>INDEX(DATA!$A$2:$M$53,MATCH(D19,DATA!$A$3:$A$53,0)+1,MATCH(CONCATENATE($F$1," ",$F$2),Column,0)+1)</f>
        <v>0.36</v>
      </c>
    </row>
    <row r="20" spans="4:6">
      <c r="D20" s="7" t="s">
        <v>31</v>
      </c>
      <c r="E20" s="28">
        <f>INDEX(DATA!$A$2:$M$53,MATCH(D20,DATA!$A$3:$A$53,0)+1,MATCH(CONCATENATE($E$1," ",$E$2),Column,0)+1)</f>
        <v>17</v>
      </c>
      <c r="F20" s="28">
        <f>INDEX(DATA!$A$2:$M$53,MATCH(D20,DATA!$A$3:$A$53,0)+1,MATCH(CONCATENATE($F$1," ",$F$2),Column,0)+1)</f>
        <v>0.45999999999999996</v>
      </c>
    </row>
    <row r="21" spans="4:6">
      <c r="D21" s="8" t="s">
        <v>32</v>
      </c>
      <c r="E21" s="28">
        <f>INDEX(DATA!$A$2:$M$53,MATCH(D21,DATA!$A$3:$A$53,0)+1,MATCH(CONCATENATE($E$1," ",$E$2),Column,0)+1)</f>
        <v>14.3</v>
      </c>
      <c r="F21" s="28" t="str">
        <f>INDEX(DATA!$A$2:$M$53,MATCH(D21,DATA!$A$3:$A$53,0)+1,MATCH(CONCATENATE($F$1," ",$F$2),Column,0)+1)</f>
        <v>--</v>
      </c>
    </row>
    <row r="22" spans="4:6">
      <c r="D22" s="7" t="s">
        <v>33</v>
      </c>
      <c r="E22" s="28">
        <f>INDEX(DATA!$A$2:$M$53,MATCH(D22,DATA!$A$3:$A$53,0)+1,MATCH(CONCATENATE($E$1," ",$E$2),Column,0)+1)</f>
        <v>11.4</v>
      </c>
      <c r="F22" s="28">
        <f>INDEX(DATA!$A$2:$M$53,MATCH(D22,DATA!$A$3:$A$53,0)+1,MATCH(CONCATENATE($F$1," ",$F$2),Column,0)+1)</f>
        <v>0.41</v>
      </c>
    </row>
    <row r="23" spans="4:6">
      <c r="D23" s="8" t="s">
        <v>34</v>
      </c>
      <c r="E23" s="28">
        <f>INDEX(DATA!$A$2:$M$53,MATCH(D23,DATA!$A$3:$A$53,0)+1,MATCH(CONCATENATE($E$1," ",$E$2),Column,0)+1)</f>
        <v>9.6</v>
      </c>
      <c r="F23" s="28">
        <f>INDEX(DATA!$A$2:$M$53,MATCH(D23,DATA!$A$3:$A$53,0)+1,MATCH(CONCATENATE($F$1," ",$F$2),Column,0)+1)</f>
        <v>0.27999999999999997</v>
      </c>
    </row>
    <row r="24" spans="4:6">
      <c r="D24" s="7" t="s">
        <v>35</v>
      </c>
      <c r="E24" s="28">
        <f>INDEX(DATA!$A$2:$M$53,MATCH(D24,DATA!$A$3:$A$53,0)+1,MATCH(CONCATENATE($E$1," ",$E$2),Column,0)+1)</f>
        <v>10.8</v>
      </c>
      <c r="F24" s="28">
        <f>INDEX(DATA!$A$2:$M$53,MATCH(D24,DATA!$A$3:$A$53,0)+1,MATCH(CONCATENATE($F$1," ",$F$2),Column,0)+1)</f>
        <v>0.22000000000000003</v>
      </c>
    </row>
    <row r="25" spans="4:6">
      <c r="D25" s="8" t="s">
        <v>36</v>
      </c>
      <c r="E25" s="28">
        <f>INDEX(DATA!$A$2:$M$53,MATCH(D25,DATA!$A$3:$A$53,0)+1,MATCH(CONCATENATE($E$1," ",$E$2),Column,0)+1)</f>
        <v>14</v>
      </c>
      <c r="F25" s="28">
        <f>INDEX(DATA!$A$2:$M$53,MATCH(D25,DATA!$A$3:$A$53,0)+1,MATCH(CONCATENATE($F$1," ",$F$2),Column,0)+1)</f>
        <v>0.32999999999999996</v>
      </c>
    </row>
    <row r="26" spans="4:6">
      <c r="D26" s="7" t="s">
        <v>37</v>
      </c>
      <c r="E26" s="28">
        <f>INDEX(DATA!$A$2:$M$53,MATCH(D26,DATA!$A$3:$A$53,0)+1,MATCH(CONCATENATE($E$1," ",$E$2),Column,0)+1)</f>
        <v>11.1</v>
      </c>
      <c r="F26" s="28" t="str">
        <f>INDEX(DATA!$A$2:$M$53,MATCH(D26,DATA!$A$3:$A$53,0)+1,MATCH(CONCATENATE($F$1," ",$F$2),Column,0)+1)</f>
        <v>--</v>
      </c>
    </row>
    <row r="27" spans="4:6">
      <c r="D27" s="8" t="s">
        <v>38</v>
      </c>
      <c r="E27" s="28">
        <f>INDEX(DATA!$A$2:$M$53,MATCH(D27,DATA!$A$3:$A$53,0)+1,MATCH(CONCATENATE($E$1," ",$E$2),Column,0)+1)</f>
        <v>23.1</v>
      </c>
      <c r="F27" s="28">
        <f>INDEX(DATA!$A$2:$M$53,MATCH(D27,DATA!$A$3:$A$53,0)+1,MATCH(CONCATENATE($F$1," ",$F$2),Column,0)+1)</f>
        <v>0.41</v>
      </c>
    </row>
    <row r="28" spans="4:6">
      <c r="D28" s="7" t="s">
        <v>39</v>
      </c>
      <c r="E28" s="28">
        <f>INDEX(DATA!$A$2:$M$53,MATCH(D28,DATA!$A$3:$A$53,0)+1,MATCH(CONCATENATE($E$1," ",$E$2),Column,0)+1)</f>
        <v>15.5</v>
      </c>
      <c r="F28" s="28">
        <f>INDEX(DATA!$A$2:$M$53,MATCH(D28,DATA!$A$3:$A$53,0)+1,MATCH(CONCATENATE($F$1," ",$F$2),Column,0)+1)</f>
        <v>0.38</v>
      </c>
    </row>
    <row r="29" spans="4:6">
      <c r="D29" s="8" t="s">
        <v>40</v>
      </c>
      <c r="E29" s="28">
        <f>INDEX(DATA!$A$2:$M$53,MATCH(D29,DATA!$A$3:$A$53,0)+1,MATCH(CONCATENATE($E$1," ",$E$2),Column,0)+1)</f>
        <v>13.5</v>
      </c>
      <c r="F29" s="28">
        <f>INDEX(DATA!$A$2:$M$53,MATCH(D29,DATA!$A$3:$A$53,0)+1,MATCH(CONCATENATE($F$1," ",$F$2),Column,0)+1)</f>
        <v>0.4</v>
      </c>
    </row>
    <row r="30" spans="4:6">
      <c r="D30" s="7" t="s">
        <v>41</v>
      </c>
      <c r="E30" s="28">
        <f>INDEX(DATA!$A$2:$M$53,MATCH(D30,DATA!$A$3:$A$53,0)+1,MATCH(CONCATENATE($E$1," ",$E$2),Column,0)+1)</f>
        <v>9.9</v>
      </c>
      <c r="F30" s="28">
        <f>INDEX(DATA!$A$2:$M$53,MATCH(D30,DATA!$A$3:$A$53,0)+1,MATCH(CONCATENATE($F$1," ",$F$2),Column,0)+1)</f>
        <v>0.33999999999999997</v>
      </c>
    </row>
    <row r="31" spans="4:6">
      <c r="D31" s="8" t="s">
        <v>42</v>
      </c>
      <c r="E31" s="28">
        <f>INDEX(DATA!$A$2:$M$53,MATCH(D31,DATA!$A$3:$A$53,0)+1,MATCH(CONCATENATE($E$1," ",$E$2),Column,0)+1)</f>
        <v>13</v>
      </c>
      <c r="F31" s="28">
        <f>INDEX(DATA!$A$2:$M$53,MATCH(D31,DATA!$A$3:$A$53,0)+1,MATCH(CONCATENATE($F$1," ",$F$2),Column,0)+1)</f>
        <v>0.65999999999999992</v>
      </c>
    </row>
    <row r="32" spans="4:6">
      <c r="D32" s="7" t="s">
        <v>43</v>
      </c>
      <c r="E32" s="28">
        <f>INDEX(DATA!$A$2:$M$53,MATCH(D32,DATA!$A$3:$A$53,0)+1,MATCH(CONCATENATE($E$1," ",$E$2),Column,0)+1)</f>
        <v>7.8</v>
      </c>
      <c r="F32" s="28">
        <f>INDEX(DATA!$A$2:$M$53,MATCH(D32,DATA!$A$3:$A$53,0)+1,MATCH(CONCATENATE($F$1," ",$F$2),Column,0)+1)</f>
        <v>0.37</v>
      </c>
    </row>
    <row r="33" spans="4:6">
      <c r="D33" s="8" t="s">
        <v>44</v>
      </c>
      <c r="E33" s="28">
        <f>INDEX(DATA!$A$2:$M$53,MATCH(D33,DATA!$A$3:$A$53,0)+1,MATCH(CONCATENATE($E$1," ",$E$2),Column,0)+1)</f>
        <v>9.3000000000000007</v>
      </c>
      <c r="F33" s="28">
        <f>INDEX(DATA!$A$2:$M$53,MATCH(D33,DATA!$A$3:$A$53,0)+1,MATCH(CONCATENATE($F$1," ",$F$2),Column,0)+1)</f>
        <v>0.27</v>
      </c>
    </row>
    <row r="34" spans="4:6">
      <c r="D34" s="7" t="s">
        <v>45</v>
      </c>
      <c r="E34" s="28">
        <f>INDEX(DATA!$A$2:$M$53,MATCH(D34,DATA!$A$3:$A$53,0)+1,MATCH(CONCATENATE($E$1," ",$E$2),Column,0)+1)</f>
        <v>19.3</v>
      </c>
      <c r="F34" s="28">
        <f>INDEX(DATA!$A$2:$M$53,MATCH(D34,DATA!$A$3:$A$53,0)+1,MATCH(CONCATENATE($F$1," ",$F$2),Column,0)+1)</f>
        <v>0.39</v>
      </c>
    </row>
    <row r="35" spans="4:6">
      <c r="D35" s="8" t="s">
        <v>46</v>
      </c>
      <c r="E35" s="28">
        <f>INDEX(DATA!$A$2:$M$53,MATCH(D35,DATA!$A$3:$A$53,0)+1,MATCH(CONCATENATE($E$1," ",$E$2),Column,0)+1)</f>
        <v>15.8</v>
      </c>
      <c r="F35" s="28">
        <f>INDEX(DATA!$A$2:$M$53,MATCH(D35,DATA!$A$3:$A$53,0)+1,MATCH(CONCATENATE($F$1," ",$F$2),Column,0)+1)</f>
        <v>0.26</v>
      </c>
    </row>
    <row r="36" spans="4:6">
      <c r="D36" s="7" t="s">
        <v>47</v>
      </c>
      <c r="E36" s="28">
        <f>INDEX(DATA!$A$2:$M$53,MATCH(D36,DATA!$A$3:$A$53,0)+1,MATCH(CONCATENATE($E$1," ",$E$2),Column,0)+1)</f>
        <v>16.899999999999999</v>
      </c>
      <c r="F36" s="28">
        <f>INDEX(DATA!$A$2:$M$53,MATCH(D36,DATA!$A$3:$A$53,0)+1,MATCH(CONCATENATE($F$1," ",$F$2),Column,0)+1)</f>
        <v>0.38</v>
      </c>
    </row>
    <row r="37" spans="4:6">
      <c r="D37" s="8" t="s">
        <v>48</v>
      </c>
      <c r="E37" s="28">
        <f>INDEX(DATA!$A$2:$M$53,MATCH(D37,DATA!$A$3:$A$53,0)+1,MATCH(CONCATENATE($E$1," ",$E$2),Column,0)+1)</f>
        <v>10.9</v>
      </c>
      <c r="F37" s="28">
        <f>INDEX(DATA!$A$2:$M$53,MATCH(D37,DATA!$A$3:$A$53,0)+1,MATCH(CONCATENATE($F$1," ",$F$2),Column,0)+1)</f>
        <v>0.27999999999999997</v>
      </c>
    </row>
    <row r="38" spans="4:6">
      <c r="D38" s="7" t="s">
        <v>49</v>
      </c>
      <c r="E38" s="28">
        <f>INDEX(DATA!$A$2:$M$53,MATCH(D38,DATA!$A$3:$A$53,0)+1,MATCH(CONCATENATE($E$1," ",$E$2),Column,0)+1)</f>
        <v>13.3</v>
      </c>
      <c r="F38" s="28">
        <f>INDEX(DATA!$A$2:$M$53,MATCH(D38,DATA!$A$3:$A$53,0)+1,MATCH(CONCATENATE($F$1," ",$F$2),Column,0)+1)</f>
        <v>0.32999999999999996</v>
      </c>
    </row>
    <row r="39" spans="4:6">
      <c r="D39" s="8" t="s">
        <v>50</v>
      </c>
      <c r="E39" s="28">
        <f>INDEX(DATA!$A$2:$M$53,MATCH(D39,DATA!$A$3:$A$53,0)+1,MATCH(CONCATENATE($E$1," ",$E$2),Column,0)+1)</f>
        <v>12.9</v>
      </c>
      <c r="F39" s="28">
        <f>INDEX(DATA!$A$2:$M$53,MATCH(D39,DATA!$A$3:$A$53,0)+1,MATCH(CONCATENATE($F$1," ",$F$2),Column,0)+1)</f>
        <v>0.48</v>
      </c>
    </row>
    <row r="40" spans="4:6">
      <c r="D40" s="7" t="s">
        <v>51</v>
      </c>
      <c r="E40" s="28">
        <f>INDEX(DATA!$A$2:$M$53,MATCH(D40,DATA!$A$3:$A$53,0)+1,MATCH(CONCATENATE($E$1," ",$E$2),Column,0)+1)</f>
        <v>13.4</v>
      </c>
      <c r="F40" s="28">
        <f>INDEX(DATA!$A$2:$M$53,MATCH(D40,DATA!$A$3:$A$53,0)+1,MATCH(CONCATENATE($F$1," ",$F$2),Column,0)+1)</f>
        <v>0.39</v>
      </c>
    </row>
    <row r="41" spans="4:6">
      <c r="D41" s="8" t="s">
        <v>52</v>
      </c>
      <c r="E41" s="28">
        <f>INDEX(DATA!$A$2:$M$53,MATCH(D41,DATA!$A$3:$A$53,0)+1,MATCH(CONCATENATE($E$1," ",$E$2),Column,0)+1)</f>
        <v>11.1</v>
      </c>
      <c r="F41" s="28">
        <f>INDEX(DATA!$A$2:$M$53,MATCH(D41,DATA!$A$3:$A$53,0)+1,MATCH(CONCATENATE($F$1," ",$F$2),Column,0)+1)</f>
        <v>0.27</v>
      </c>
    </row>
    <row r="42" spans="4:6">
      <c r="D42" s="7" t="s">
        <v>53</v>
      </c>
      <c r="E42" s="28">
        <f>INDEX(DATA!$A$2:$M$53,MATCH(D42,DATA!$A$3:$A$53,0)+1,MATCH(CONCATENATE($E$1," ",$E$2),Column,0)+1)</f>
        <v>13</v>
      </c>
      <c r="F42" s="28">
        <f>INDEX(DATA!$A$2:$M$53,MATCH(D42,DATA!$A$3:$A$53,0)+1,MATCH(CONCATENATE($F$1," ",$F$2),Column,0)+1)</f>
        <v>0.3</v>
      </c>
    </row>
    <row r="43" spans="4:6">
      <c r="D43" s="8" t="s">
        <v>54</v>
      </c>
      <c r="E43" s="28">
        <f>INDEX(DATA!$A$2:$M$53,MATCH(D43,DATA!$A$3:$A$53,0)+1,MATCH(CONCATENATE($E$1," ",$E$2),Column,0)+1)</f>
        <v>13.7</v>
      </c>
      <c r="F43" s="28">
        <f>INDEX(DATA!$A$2:$M$53,MATCH(D43,DATA!$A$3:$A$53,0)+1,MATCH(CONCATENATE($F$1," ",$F$2),Column,0)+1)</f>
        <v>0.3</v>
      </c>
    </row>
    <row r="44" spans="4:6">
      <c r="D44" s="7" t="s">
        <v>55</v>
      </c>
      <c r="E44" s="28">
        <f>INDEX(DATA!$A$2:$M$53,MATCH(D44,DATA!$A$3:$A$53,0)+1,MATCH(CONCATENATE($E$1," ",$E$2),Column,0)+1)</f>
        <v>14.1</v>
      </c>
      <c r="F44" s="28">
        <f>INDEX(DATA!$A$2:$M$53,MATCH(D44,DATA!$A$3:$A$53,0)+1,MATCH(CONCATENATE($F$1," ",$F$2),Column,0)+1)</f>
        <v>0.32999999999999996</v>
      </c>
    </row>
    <row r="45" spans="4:6">
      <c r="D45" s="8" t="s">
        <v>56</v>
      </c>
      <c r="E45" s="28">
        <f>INDEX(DATA!$A$2:$M$53,MATCH(D45,DATA!$A$3:$A$53,0)+1,MATCH(CONCATENATE($E$1," ",$E$2),Column,0)+1)</f>
        <v>16.5</v>
      </c>
      <c r="F45" s="28">
        <f>INDEX(DATA!$A$2:$M$53,MATCH(D45,DATA!$A$3:$A$53,0)+1,MATCH(CONCATENATE($F$1," ",$F$2),Column,0)+1)</f>
        <v>0.39</v>
      </c>
    </row>
    <row r="46" spans="4:6">
      <c r="D46" s="7" t="s">
        <v>57</v>
      </c>
      <c r="E46" s="28">
        <f>INDEX(DATA!$A$2:$M$53,MATCH(D46,DATA!$A$3:$A$53,0)+1,MATCH(CONCATENATE($E$1," ",$E$2),Column,0)+1)</f>
        <v>17.3</v>
      </c>
      <c r="F46" s="28">
        <f>INDEX(DATA!$A$2:$M$53,MATCH(D46,DATA!$A$3:$A$53,0)+1,MATCH(CONCATENATE($F$1," ",$F$2),Column,0)+1)</f>
        <v>0.32999999999999996</v>
      </c>
    </row>
    <row r="47" spans="4:6">
      <c r="D47" s="8" t="s">
        <v>58</v>
      </c>
      <c r="E47" s="28">
        <f>INDEX(DATA!$A$2:$M$53,MATCH(D47,DATA!$A$3:$A$53,0)+1,MATCH(CONCATENATE($E$1," ",$E$2),Column,0)+1)</f>
        <v>9.6999999999999993</v>
      </c>
      <c r="F47" s="28">
        <f>INDEX(DATA!$A$2:$M$53,MATCH(D47,DATA!$A$3:$A$53,0)+1,MATCH(CONCATENATE($F$1," ",$F$2),Column,0)+1)</f>
        <v>0.37</v>
      </c>
    </row>
    <row r="48" spans="4:6">
      <c r="D48" s="7" t="s">
        <v>59</v>
      </c>
      <c r="E48" s="28">
        <f>INDEX(DATA!$A$2:$M$53,MATCH(D48,DATA!$A$3:$A$53,0)+1,MATCH(CONCATENATE($E$1," ",$E$2),Column,0)+1)</f>
        <v>9.4</v>
      </c>
      <c r="F48" s="28">
        <f>INDEX(DATA!$A$2:$M$53,MATCH(D48,DATA!$A$3:$A$53,0)+1,MATCH(CONCATENATE($F$1," ",$F$2),Column,0)+1)</f>
        <v>0.35</v>
      </c>
    </row>
    <row r="49" spans="4:6">
      <c r="D49" s="8" t="s">
        <v>60</v>
      </c>
      <c r="E49" s="28">
        <f>INDEX(DATA!$A$2:$M$53,MATCH(D49,DATA!$A$3:$A$53,0)+1,MATCH(CONCATENATE($E$1," ",$E$2),Column,0)+1)</f>
        <v>10.7</v>
      </c>
      <c r="F49" s="28">
        <f>INDEX(DATA!$A$2:$M$53,MATCH(D49,DATA!$A$3:$A$53,0)+1,MATCH(CONCATENATE($F$1," ",$F$2),Column,0)+1)</f>
        <v>0.37</v>
      </c>
    </row>
    <row r="50" spans="4:6">
      <c r="D50" s="7" t="s">
        <v>61</v>
      </c>
      <c r="E50" s="28">
        <f>INDEX(DATA!$A$2:$M$53,MATCH(D50,DATA!$A$3:$A$53,0)+1,MATCH(CONCATENATE($E$1," ",$E$2),Column,0)+1)</f>
        <v>11.7</v>
      </c>
      <c r="F50" s="28">
        <f>INDEX(DATA!$A$2:$M$53,MATCH(D50,DATA!$A$3:$A$53,0)+1,MATCH(CONCATENATE($F$1," ",$F$2),Column,0)+1)</f>
        <v>0.39</v>
      </c>
    </row>
    <row r="51" spans="4:6">
      <c r="D51" s="8" t="s">
        <v>62</v>
      </c>
      <c r="E51" s="28">
        <f>INDEX(DATA!$A$2:$M$53,MATCH(D51,DATA!$A$3:$A$53,0)+1,MATCH(CONCATENATE($E$1," ",$E$2),Column,0)+1)</f>
        <v>15.8</v>
      </c>
      <c r="F51" s="28">
        <f>INDEX(DATA!$A$2:$M$53,MATCH(D51,DATA!$A$3:$A$53,0)+1,MATCH(CONCATENATE($F$1," ",$F$2),Column,0)+1)</f>
        <v>0.51</v>
      </c>
    </row>
    <row r="52" spans="4:6">
      <c r="D52" s="7" t="s">
        <v>63</v>
      </c>
      <c r="E52" s="28">
        <f>INDEX(DATA!$A$2:$M$53,MATCH(D52,DATA!$A$3:$A$53,0)+1,MATCH(CONCATENATE($E$1," ",$E$2),Column,0)+1)</f>
        <v>10.8</v>
      </c>
      <c r="F52" s="28">
        <f>INDEX(DATA!$A$2:$M$53,MATCH(D52,DATA!$A$3:$A$53,0)+1,MATCH(CONCATENATE($F$1," ",$F$2),Column,0)+1)</f>
        <v>0.28999999999999998</v>
      </c>
    </row>
    <row r="53" spans="4:6">
      <c r="D53" s="9" t="s">
        <v>64</v>
      </c>
      <c r="E53" s="28">
        <f>INDEX(DATA!$A$2:$M$53,MATCH(D53,DATA!$A$3:$A$53,0)+1,MATCH(CONCATENATE($E$1," ",$E$2),Column,0)+1)</f>
        <v>9.1999999999999993</v>
      </c>
      <c r="F53" s="28">
        <f>INDEX(DATA!$A$2:$M$53,MATCH(D53,DATA!$A$3:$A$53,0)+1,MATCH(CONCATENATE($F$1," ",$F$2),Column,0)+1)</f>
        <v>0.51</v>
      </c>
    </row>
  </sheetData>
  <dataValidations count="2">
    <dataValidation type="list" allowBlank="1" showInputMessage="1" showErrorMessage="1" sqref="B2 E2:F2">
      <formula1>$B$10:$B$13</formula1>
    </dataValidation>
    <dataValidation type="list" allowBlank="1" showInputMessage="1" showErrorMessage="1" sqref="A2 E1:F1">
      <formula1>$A$10:$A$12</formula1>
    </dataValidation>
  </dataValidation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workbookViewId="0">
      <selection activeCell="D11" sqref="D11"/>
    </sheetView>
  </sheetViews>
  <sheetFormatPr defaultRowHeight="15"/>
  <cols>
    <col min="1" max="1" width="14.28515625" customWidth="1"/>
    <col min="2" max="5" width="15.5703125" customWidth="1"/>
    <col min="6" max="9" width="15.42578125" customWidth="1"/>
    <col min="10" max="13" width="17.42578125" customWidth="1"/>
  </cols>
  <sheetData>
    <row r="1" spans="1:13">
      <c r="A1" t="s">
        <v>69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>
      <c r="A2" s="2" t="s">
        <v>1</v>
      </c>
      <c r="B2" s="29">
        <f>CORREL(Table12[POVERTY 2008],Table12[POVERTY 2008])</f>
        <v>1</v>
      </c>
      <c r="C2" s="29">
        <f>CORREL(Table12[POVERTY 2009],Table12[POVERTY 2008])</f>
        <v>0.85379213735888915</v>
      </c>
      <c r="D2" s="29">
        <f>CORREL(Table12[POVERTY 2010],Table12[POVERTY 2008])</f>
        <v>0.89495858003374285</v>
      </c>
      <c r="E2" s="29">
        <f>CORREL(Table12[POVERTY 2011],Table12[POVERTY 2008])</f>
        <v>0.94837192129017855</v>
      </c>
      <c r="F2" s="6">
        <f>CORREL(Table13[DIVORCE 2008],Table12[POVERTY 2008])</f>
        <v>0.20437069925331525</v>
      </c>
      <c r="G2" s="6">
        <f>CORREL(Table13[DIVORCE 2009],Table12[POVERTY 2008])</f>
        <v>0.20171037766853783</v>
      </c>
      <c r="H2" s="6">
        <f>CORREL(Table13[DIVORCE 2010],Table12[POVERTY 2008])</f>
        <v>0.20806161604062973</v>
      </c>
      <c r="I2" s="6">
        <f>CORREL(Table13[DIVORCE 2011],Table12[POVERTY 2008])</f>
        <v>0.1711386572197669</v>
      </c>
      <c r="J2" s="6">
        <f>CORREL(Table14[HAPPINESS 2008],Table12[POVERTY 2008])</f>
        <v>-0.65164541790653074</v>
      </c>
      <c r="K2" s="6">
        <f>CORREL(Table14[HAPPINESS 2009],Table12[POVERTY 2008])</f>
        <v>-0.6255052731291747</v>
      </c>
      <c r="L2" s="6">
        <f>CORREL(Table14[HAPPINESS 2010],Table12[POVERTY 2008])</f>
        <v>-0.70402064465959235</v>
      </c>
      <c r="M2" s="6">
        <f>CORREL(Table14[HAPPINESS 2011],Table12[POVERTY 2008])</f>
        <v>-0.68560917048670245</v>
      </c>
    </row>
    <row r="3" spans="1:13">
      <c r="A3" s="2" t="s">
        <v>2</v>
      </c>
      <c r="B3" s="29">
        <f>CORREL(Table12[POVERTY 2008],Table12[POVERTY 2009])</f>
        <v>0.85379213735888915</v>
      </c>
      <c r="C3" s="29">
        <f>CORREL(Table12[POVERTY 2009],Table12[POVERTY 2009])</f>
        <v>1</v>
      </c>
      <c r="D3" s="29">
        <f>CORREL(Table12[POVERTY 2010],Table12[POVERTY 2009])</f>
        <v>0.89599033755758406</v>
      </c>
      <c r="E3" s="29">
        <f>CORREL(Table12[POVERTY 2011],Table12[POVERTY 2009])</f>
        <v>0.8865781846546037</v>
      </c>
      <c r="F3" s="6">
        <f>CORREL(Table13[DIVORCE 2008],Table12[POVERTY 2009])</f>
        <v>0.16082580137671937</v>
      </c>
      <c r="G3" s="6">
        <f>CORREL(Table13[DIVORCE 2009],Table12[POVERTY 2009])</f>
        <v>0.16844779202817972</v>
      </c>
      <c r="H3" s="6">
        <f>CORREL(Table13[DIVORCE 2010],Table12[POVERTY 2009])</f>
        <v>0.15881376799421906</v>
      </c>
      <c r="I3" s="6">
        <f>CORREL(Table13[DIVORCE 2011],Table12[POVERTY 2009])</f>
        <v>0.13606622483663069</v>
      </c>
      <c r="J3" s="6">
        <f>CORREL(Table14[HAPPINESS 2008],Table12[POVERTY 2009])</f>
        <v>-0.50950301882910465</v>
      </c>
      <c r="K3" s="6">
        <f>CORREL(Table14[HAPPINESS 2009],Table12[POVERTY 2009])</f>
        <v>-0.48591667539653272</v>
      </c>
      <c r="L3" s="6">
        <f>CORREL(Table14[HAPPINESS 2010],Table12[POVERTY 2009])</f>
        <v>-0.56037062321390829</v>
      </c>
      <c r="M3" s="6">
        <f>CORREL(Table14[HAPPINESS 2011],Table12[POVERTY 2009])</f>
        <v>-0.51814870881935804</v>
      </c>
    </row>
    <row r="4" spans="1:13">
      <c r="A4" s="2" t="s">
        <v>3</v>
      </c>
      <c r="B4" s="29">
        <f>CORREL(Table12[POVERTY 2008],Table12[POVERTY 2010])</f>
        <v>0.89495858003374285</v>
      </c>
      <c r="C4" s="29">
        <f>CORREL(Table12[POVERTY 2009],Table12[POVERTY 2010])</f>
        <v>0.89599033755758406</v>
      </c>
      <c r="D4" s="29">
        <f>CORREL(Table12[POVERTY 2010],Table12[POVERTY 2010])</f>
        <v>0.99999999999999989</v>
      </c>
      <c r="E4" s="29">
        <f>CORREL(Table12[POVERTY 2011],Table12[POVERTY 2010])</f>
        <v>0.92802141896993129</v>
      </c>
      <c r="F4" s="6">
        <f>CORREL(Table13[DIVORCE 2008],Table12[POVERTY 2010])</f>
        <v>0.15654160788236551</v>
      </c>
      <c r="G4" s="6">
        <f>CORREL(Table13[DIVORCE 2009],Table12[POVERTY 2010])</f>
        <v>0.16490458191641336</v>
      </c>
      <c r="H4" s="6">
        <f>CORREL(Table13[DIVORCE 2010],Table12[POVERTY 2010])</f>
        <v>0.15413161300592509</v>
      </c>
      <c r="I4" s="6">
        <f>CORREL(Table13[DIVORCE 2011],Table12[POVERTY 2010])</f>
        <v>0.13437258521809722</v>
      </c>
      <c r="J4" s="6">
        <f>CORREL(Table14[HAPPINESS 2008],Table12[POVERTY 2010])</f>
        <v>-0.5640489325202751</v>
      </c>
      <c r="K4" s="6">
        <f>CORREL(Table14[HAPPINESS 2009],Table12[POVERTY 2010])</f>
        <v>-0.56741201902077198</v>
      </c>
      <c r="L4" s="6">
        <f>CORREL(Table14[HAPPINESS 2010],Table12[POVERTY 2010])</f>
        <v>-0.64875115754082779</v>
      </c>
      <c r="M4" s="6">
        <f>CORREL(Table14[HAPPINESS 2011],Table12[POVERTY 2010])</f>
        <v>-0.60256790134420513</v>
      </c>
    </row>
    <row r="5" spans="1:13">
      <c r="A5" s="2" t="s">
        <v>4</v>
      </c>
      <c r="B5" s="29">
        <f>CORREL(Table12[POVERTY 2008],Table12[POVERTY 2011])</f>
        <v>0.94837192129017855</v>
      </c>
      <c r="C5" s="29">
        <f>CORREL(Table12[POVERTY 2009],Table12[POVERTY 2011])</f>
        <v>0.8865781846546037</v>
      </c>
      <c r="D5" s="29">
        <f>CORREL(Table12[POVERTY 2010],Table12[POVERTY 2011])</f>
        <v>0.92802141896993129</v>
      </c>
      <c r="E5" s="29">
        <f>CORREL(Table12[POVERTY 2011],Table12[POVERTY 2011])</f>
        <v>1</v>
      </c>
      <c r="F5" s="6">
        <f>CORREL(Table13[DIVORCE 2008],Table12[POVERTY 2008])</f>
        <v>0.20437069925331525</v>
      </c>
      <c r="G5" s="6">
        <f>CORREL(Table13[DIVORCE 2009],Table12[POVERTY 2011])</f>
        <v>0.23077477241403532</v>
      </c>
      <c r="H5" s="6">
        <f>CORREL(Table13[DIVORCE 2010],Table12[POVERTY 2011])</f>
        <v>0.22270584009296207</v>
      </c>
      <c r="I5" s="6">
        <f>CORREL(Table13[DIVORCE 2011],Table12[POVERTY 2011])</f>
        <v>0.18268077958391576</v>
      </c>
      <c r="J5" s="6">
        <f>CORREL(Table14[HAPPINESS 2008],Table12[POVERTY 2011])</f>
        <v>-0.54607372683215272</v>
      </c>
      <c r="K5" s="6">
        <f>CORREL(Table14[HAPPINESS 2009],Table12[POVERTY 2011])</f>
        <v>-0.60497763469090216</v>
      </c>
      <c r="L5" s="6">
        <f>CORREL(Table14[HAPPINESS 2010],Table12[POVERTY 2011])</f>
        <v>-0.67576912617255813</v>
      </c>
      <c r="M5" s="6">
        <f>CORREL(Table14[HAPPINESS 2011],Table12[POVERTY 2011])</f>
        <v>-0.65411782379277283</v>
      </c>
    </row>
    <row r="6" spans="1:13">
      <c r="A6" s="2" t="s">
        <v>5</v>
      </c>
      <c r="B6" s="29">
        <f>CORREL(Table12[POVERTY 2008],Table13[DIVORCE 2008])</f>
        <v>0.20437069925331525</v>
      </c>
      <c r="C6" s="29">
        <f>CORREL(Table12[POVERTY 2009],Table13[DIVORCE 2008])</f>
        <v>0.16082580137671937</v>
      </c>
      <c r="D6" s="29">
        <f>CORREL(Table12[POVERTY 2010],Table13[DIVORCE 2008])</f>
        <v>0.15654160788236551</v>
      </c>
      <c r="E6" s="29">
        <f>CORREL(Table12[POVERTY 2011],Table13[DIVORCE 2008])</f>
        <v>0.22301997958348296</v>
      </c>
      <c r="F6" s="6">
        <f>CORREL(Table13[DIVORCE 2008],Table13[DIVORCE 2008])</f>
        <v>1</v>
      </c>
      <c r="G6" s="6">
        <f>CORREL(Table13[DIVORCE 2009],Table13[DIVORCE 2008])</f>
        <v>0.9863834883388275</v>
      </c>
      <c r="H6" s="6">
        <f>CORREL(Table13[DIVORCE 2010],Table13[DIVORCE 2008])</f>
        <v>0.97963931150343553</v>
      </c>
      <c r="I6" s="6">
        <f>CORREL(Table13[DIVORCE 2011],Table13[DIVORCE 2008])</f>
        <v>0.96610275486730901</v>
      </c>
      <c r="J6" s="6">
        <f>CORREL(Table14[HAPPINESS 2008],Table13[DIVORCE 2008])</f>
        <v>-0.26076873396066808</v>
      </c>
      <c r="K6" s="6">
        <f>CORREL(Table14[HAPPINESS 2009],Table13[DIVORCE 2008])</f>
        <v>-0.32614951171705536</v>
      </c>
      <c r="L6" s="6">
        <f>CORREL(Table14[HAPPINESS 2010],Table13[DIVORCE 2008])</f>
        <v>-0.33717485457286556</v>
      </c>
      <c r="M6" s="6">
        <f>CORREL(Table14[HAPPINESS 2011],Table13[DIVORCE 2008])</f>
        <v>-0.32941889500324606</v>
      </c>
    </row>
    <row r="7" spans="1:13">
      <c r="A7" s="2" t="s">
        <v>6</v>
      </c>
      <c r="B7" s="29">
        <f>CORREL(Table12[POVERTY 2008],Table13[DIVORCE 2009])</f>
        <v>0.20171037766853783</v>
      </c>
      <c r="C7" s="29">
        <f>CORREL(Table12[POVERTY 2009],Table13[DIVORCE 2009])</f>
        <v>0.16844779202817972</v>
      </c>
      <c r="D7" s="29">
        <f>CORREL(Table12[POVERTY 2010],Table13[DIVORCE 2009])</f>
        <v>0.16490458191641336</v>
      </c>
      <c r="E7" s="29">
        <f>CORREL(Table12[POVERTY 2011],Table13[DIVORCE 2009])</f>
        <v>0.23077477241403532</v>
      </c>
      <c r="F7" s="6">
        <f>CORREL(Table13[DIVORCE 2008],Table13[DIVORCE 2009])</f>
        <v>0.9863834883388275</v>
      </c>
      <c r="G7" s="6">
        <f>CORREL(Table13[DIVORCE 2009],Table13[DIVORCE 2009])</f>
        <v>1</v>
      </c>
      <c r="H7" s="6">
        <f>CORREL(Table13[DIVORCE 2010],Table13[DIVORCE 2009])</f>
        <v>0.98590577475499197</v>
      </c>
      <c r="I7" s="6">
        <f>CORREL(Table13[DIVORCE 2011],Table13[DIVORCE 2009])</f>
        <v>0.97032629682158189</v>
      </c>
      <c r="J7" s="6">
        <f>CORREL(Table14[HAPPINESS 2008],Table13[DIVORCE 2009])</f>
        <v>-0.27394524482422339</v>
      </c>
      <c r="K7" s="6">
        <f>CORREL(Table14[HAPPINESS 2009],Table13[DIVORCE 2009])</f>
        <v>-0.3544541701712447</v>
      </c>
      <c r="L7" s="6">
        <f>CORREL(Table14[HAPPINESS 2010],Table13[DIVORCE 2009])</f>
        <v>-0.35020265358154151</v>
      </c>
      <c r="M7" s="6">
        <f>CORREL(Table14[HAPPINESS 2011],Table13[DIVORCE 2009])</f>
        <v>-0.33447698413510607</v>
      </c>
    </row>
    <row r="8" spans="1:13">
      <c r="A8" s="2" t="s">
        <v>7</v>
      </c>
      <c r="B8" s="29">
        <f>CORREL(Table12[POVERTY 2008],Table13[DIVORCE 2010])</f>
        <v>0.20806161604062973</v>
      </c>
      <c r="C8" s="29">
        <f>CORREL(Table12[POVERTY 2009],Table13[DIVORCE 2010])</f>
        <v>0.15881376799421906</v>
      </c>
      <c r="D8" s="29">
        <f>CORREL(Table12[POVERTY 2010],Table13[DIVORCE 2010])</f>
        <v>0.15413161300592509</v>
      </c>
      <c r="E8" s="29">
        <f>CORREL(Table12[POVERTY 2011],Table13[DIVORCE 2010])</f>
        <v>0.22270584009296207</v>
      </c>
      <c r="F8" s="6">
        <f>CORREL(Table13[DIVORCE 2008],Table13[DIVORCE 2010])</f>
        <v>0.97963931150343553</v>
      </c>
      <c r="G8" s="6">
        <f>CORREL(Table13[DIVORCE 2009],Table13[DIVORCE 2010])</f>
        <v>0.98590577475499197</v>
      </c>
      <c r="H8" s="6">
        <f>CORREL(Table13[DIVORCE 2010],Table13[DIVORCE 2010])</f>
        <v>1</v>
      </c>
      <c r="I8" s="6">
        <f>CORREL(Table13[DIVORCE 2011],Table13[DIVORCE 2010])</f>
        <v>0.98227042209521298</v>
      </c>
      <c r="J8" s="6">
        <f>CORREL(Table14[HAPPINESS 2008],Table13[DIVORCE 2010])</f>
        <v>-0.27829080589517763</v>
      </c>
      <c r="K8" s="6">
        <f>CORREL(Table14[HAPPINESS 2009],Table13[DIVORCE 2010])</f>
        <v>-0.34319818579023792</v>
      </c>
      <c r="L8" s="6">
        <f>CORREL(Table14[HAPPINESS 2010],Table13[DIVORCE 2010])</f>
        <v>-0.32619234901870481</v>
      </c>
      <c r="M8" s="6">
        <f>CORREL(Table14[HAPPINESS 2011],Table13[DIVORCE 2010])</f>
        <v>-0.32457434419650444</v>
      </c>
    </row>
    <row r="9" spans="1:13">
      <c r="A9" s="2" t="s">
        <v>8</v>
      </c>
      <c r="B9" s="29">
        <f>CORREL(Table12[POVERTY 2008],Table13[DIVORCE 2011])</f>
        <v>0.1711386572197669</v>
      </c>
      <c r="C9" s="29">
        <f>CORREL(Table12[POVERTY 2009],Table13[DIVORCE 2011])</f>
        <v>0.13606622483663069</v>
      </c>
      <c r="D9" s="29">
        <f>CORREL(Table12[POVERTY 2010],Table13[DIVORCE 2011])</f>
        <v>0.13437258521809722</v>
      </c>
      <c r="E9" s="29">
        <f>CORREL(Table12[POVERTY 2011],Table13[DIVORCE 2011])</f>
        <v>0.18268077958391576</v>
      </c>
      <c r="F9" s="6">
        <f>CORREL(Table13[DIVORCE 2008],Table13[DIVORCE 2011])</f>
        <v>0.96610275486730901</v>
      </c>
      <c r="G9" s="6">
        <f>CORREL(Table13[DIVORCE 2009],Table13[DIVORCE 2011])</f>
        <v>0.97032629682158189</v>
      </c>
      <c r="H9" s="6">
        <f>CORREL(Table13[DIVORCE 2010],Table13[DIVORCE 2011])</f>
        <v>0.98227042209521298</v>
      </c>
      <c r="I9" s="6">
        <f>CORREL(Table13[DIVORCE 2011],Table13[DIVORCE 2011])</f>
        <v>1</v>
      </c>
      <c r="J9" s="6">
        <f>CORREL(Table14[HAPPINESS 2008],Table13[DIVORCE 2011])</f>
        <v>-0.26957118003328367</v>
      </c>
      <c r="K9" s="6">
        <f>CORREL(Table14[HAPPINESS 2009],Table13[DIVORCE 2011])</f>
        <v>-0.33574413732797648</v>
      </c>
      <c r="L9" s="6">
        <f>CORREL(Table14[HAPPINESS 2010],Table13[DIVORCE 2011])</f>
        <v>-0.33139522712663572</v>
      </c>
      <c r="M9" s="6">
        <f>CORREL(Table14[HAPPINESS 2011],Table13[DIVORCE 2011])</f>
        <v>-0.33812592720718909</v>
      </c>
    </row>
    <row r="10" spans="1:13">
      <c r="A10" s="2" t="s">
        <v>9</v>
      </c>
      <c r="B10" s="29">
        <f>CORREL(Table12[POVERTY 2008],Table14[HAPPINESS 2008])</f>
        <v>-0.65164541790653074</v>
      </c>
      <c r="C10" s="29">
        <f>CORREL(Table12[POVERTY 2009],Table14[HAPPINESS 2008])</f>
        <v>-0.50950301882910465</v>
      </c>
      <c r="D10" s="29">
        <f>CORREL(Table12[POVERTY 2010],Table14[HAPPINESS 2008])</f>
        <v>-0.5640489325202751</v>
      </c>
      <c r="E10" s="29">
        <f>CORREL(Table12[POVERTY 2011],Table14[HAPPINESS 2008])</f>
        <v>-0.54607372683215272</v>
      </c>
      <c r="F10" s="6">
        <f>CORREL(Table13[DIVORCE 2008],Table14[HAPPINESS 2008])</f>
        <v>-0.26076873396066808</v>
      </c>
      <c r="G10" s="6">
        <f>CORREL(Table13[DIVORCE 2009],Table14[HAPPINESS 2008])</f>
        <v>-0.27394524482422339</v>
      </c>
      <c r="H10" s="6">
        <f>CORREL(Table13[DIVORCE 2010],Table14[HAPPINESS 2008])</f>
        <v>-0.27829080589517763</v>
      </c>
      <c r="I10" s="6">
        <f>CORREL(Table13[DIVORCE 2011],Table14[HAPPINESS 2008])</f>
        <v>-0.26957118003328367</v>
      </c>
      <c r="J10" s="6">
        <f>CORREL(Table14[HAPPINESS 2008],Table14[HAPPINESS 2008])</f>
        <v>1.0000000000000002</v>
      </c>
      <c r="K10" s="6">
        <f>CORREL(Table14[HAPPINESS 2009],Table14[HAPPINESS 2008])</f>
        <v>0.87423533867685832</v>
      </c>
      <c r="L10" s="6">
        <f>CORREL(Table14[HAPPINESS 2010],Table14[HAPPINESS 2008])</f>
        <v>0.86316812335065529</v>
      </c>
      <c r="M10" s="6">
        <f>CORREL(Table14[HAPPINESS 2011],Table14[HAPPINESS 2008])</f>
        <v>0.8000687544592866</v>
      </c>
    </row>
    <row r="11" spans="1:13">
      <c r="A11" s="2" t="s">
        <v>10</v>
      </c>
      <c r="B11" s="29">
        <f>CORREL(Table12[POVERTY 2008],Table14[HAPPINESS 2009])</f>
        <v>-0.6255052731291747</v>
      </c>
      <c r="C11" s="29">
        <f>CORREL(Table12[POVERTY 2009],Table14[HAPPINESS 2009])</f>
        <v>-0.48591667539653272</v>
      </c>
      <c r="D11" s="29">
        <f>CORREL(Table12[POVERTY 2010],Table14[HAPPINESS 2009])</f>
        <v>-0.56741201902077198</v>
      </c>
      <c r="E11" s="29">
        <f>CORREL(Table12[POVERTY 2011],Table14[HAPPINESS 2009])</f>
        <v>-0.60497763469090216</v>
      </c>
      <c r="F11" s="6">
        <f>CORREL(Table13[DIVORCE 2008],Table14[HAPPINESS 2009])</f>
        <v>-0.32614951171705536</v>
      </c>
      <c r="G11" s="6">
        <f>CORREL(Table13[DIVORCE 2009],Table14[HAPPINESS 2009])</f>
        <v>-0.3544541701712447</v>
      </c>
      <c r="H11" s="6">
        <f>CORREL(Table13[DIVORCE 2010],Table14[HAPPINESS 2009])</f>
        <v>-0.34319818579023792</v>
      </c>
      <c r="I11" s="6">
        <f>CORREL(Table13[DIVORCE 2011],Table14[HAPPINESS 2009])</f>
        <v>-0.33574413732797648</v>
      </c>
      <c r="J11" s="6">
        <f>CORREL(Table14[HAPPINESS 2008],Table14[HAPPINESS 2009])</f>
        <v>0.87423533867685832</v>
      </c>
      <c r="K11" s="6">
        <f>CORREL(Table14[HAPPINESS 2009],Table14[HAPPINESS 2009])</f>
        <v>0.99999999999999989</v>
      </c>
      <c r="L11" s="6">
        <f>CORREL(Table14[HAPPINESS 2010],Table14[HAPPINESS 2009])</f>
        <v>0.9183170888295249</v>
      </c>
      <c r="M11" s="6">
        <f>CORREL(Table14[HAPPINESS 2011],Table14[HAPPINESS 2009])</f>
        <v>0.89762974987522715</v>
      </c>
    </row>
    <row r="12" spans="1:13">
      <c r="A12" s="2" t="s">
        <v>11</v>
      </c>
      <c r="B12" s="29">
        <f>CORREL(Table12[POVERTY 2008],Table14[HAPPINESS 2010])</f>
        <v>-0.70402064465959235</v>
      </c>
      <c r="C12" s="29">
        <f>CORREL(Table12[POVERTY 2009],Table14[HAPPINESS 2010])</f>
        <v>-0.56037062321390829</v>
      </c>
      <c r="D12" s="29">
        <f>CORREL(Table12[POVERTY 2010],Table14[HAPPINESS 2010])</f>
        <v>-0.64875115754082779</v>
      </c>
      <c r="E12" s="29">
        <f>CORREL(Table12[POVERTY 2011],Table14[HAPPINESS 2010])</f>
        <v>-0.67576912617255813</v>
      </c>
      <c r="F12" s="6">
        <f>CORREL(Table13[DIVORCE 2008],Table14[HAPPINESS 2010])</f>
        <v>-0.33717485457286556</v>
      </c>
      <c r="G12" s="6">
        <f>CORREL(Table13[DIVORCE 2009],Table14[HAPPINESS 2010])</f>
        <v>-0.35020265358154151</v>
      </c>
      <c r="H12" s="6">
        <f>CORREL(Table13[DIVORCE 2010],Table14[HAPPINESS 2010])</f>
        <v>-0.32619234901870481</v>
      </c>
      <c r="I12" s="6">
        <f>CORREL(Table13[DIVORCE 2011],Table14[HAPPINESS 2010])</f>
        <v>-0.33139522712663572</v>
      </c>
      <c r="J12" s="6">
        <f>CORREL(Table14[HAPPINESS 2008],Table14[HAPPINESS 2010])</f>
        <v>0.86316812335065529</v>
      </c>
      <c r="K12" s="6">
        <f>CORREL(Table14[HAPPINESS 2009],Table14[HAPPINESS 2010])</f>
        <v>0.9183170888295249</v>
      </c>
      <c r="L12" s="6">
        <f>CORREL(Table14[HAPPINESS 2010],Table14[HAPPINESS 2011])</f>
        <v>0.90332304957899878</v>
      </c>
      <c r="M12" s="6">
        <f>CORREL(Table14[HAPPINESS 2011],Table14[HAPPINESS 2010])</f>
        <v>0.90332304957899878</v>
      </c>
    </row>
    <row r="13" spans="1:13">
      <c r="A13" s="2" t="s">
        <v>12</v>
      </c>
      <c r="B13" s="29">
        <f>CORREL(Table12[POVERTY 2008],Table14[HAPPINESS 2011])</f>
        <v>-0.68560917048670245</v>
      </c>
      <c r="C13" s="29">
        <f>CORREL(Table12[POVERTY 2009],Table14[HAPPINESS 2011])</f>
        <v>-0.51814870881935804</v>
      </c>
      <c r="D13" s="29">
        <f>CORREL(Table12[POVERTY 2010],Table14[HAPPINESS 2011])</f>
        <v>-0.60256790134420513</v>
      </c>
      <c r="E13" s="29">
        <f>CORREL(Table12[POVERTY 2011],Table14[HAPPINESS 2011])</f>
        <v>-0.65411782379277283</v>
      </c>
      <c r="F13" s="6">
        <f>CORREL(Table13[DIVORCE 2008],Table14[HAPPINESS 2011])</f>
        <v>-0.32941889500324606</v>
      </c>
      <c r="G13" s="6">
        <f>CORREL(Table13[DIVORCE 2009],Table14[HAPPINESS 2011])</f>
        <v>-0.33447698413510607</v>
      </c>
      <c r="H13" s="6">
        <f>CORREL(Table13[DIVORCE 2010],Table14[HAPPINESS 2011])</f>
        <v>-0.32457434419650444</v>
      </c>
      <c r="I13" s="6">
        <f>CORREL(Table13[DIVORCE 2011],Table14[HAPPINESS 2011])</f>
        <v>-0.33812592720718909</v>
      </c>
      <c r="J13" s="6">
        <f>CORREL(Table14[HAPPINESS 2008],Table14[HAPPINESS 2011])</f>
        <v>0.8000687544592866</v>
      </c>
      <c r="K13" s="6">
        <f>CORREL(Table14[HAPPINESS 2009],Table14[HAPPINESS 2011])</f>
        <v>0.89762974987522715</v>
      </c>
      <c r="L13" s="6">
        <f>CORREL(Table14[HAPPINESS 2010],Table14[HAPPINESS 2011])</f>
        <v>0.90332304957899878</v>
      </c>
      <c r="M13" s="6">
        <f>CORREL(Table14[HAPPINESS 2011],Table14[HAPPINESS 2011])</f>
        <v>1.0000000000000002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DATA</vt:lpstr>
      <vt:lpstr>STATISTICS</vt:lpstr>
      <vt:lpstr>CORRELATION</vt:lpstr>
      <vt:lpstr>Column</vt:lpstr>
      <vt:lpstr>DATA</vt:lpstr>
      <vt:lpstr>States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Sanjay</dc:creator>
  <cp:lastModifiedBy>Sanjay</cp:lastModifiedBy>
  <dcterms:created xsi:type="dcterms:W3CDTF">2013-02-24T15:33:02Z</dcterms:created>
  <dcterms:modified xsi:type="dcterms:W3CDTF">2013-02-26T16:17:26Z</dcterms:modified>
</cp:coreProperties>
</file>